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TODOS OS ARQUIVOS\PJKING PLANEJAMENTO DE VIDA\Corretor\Onerealtor\Estudos Onerealtor\"/>
    </mc:Choice>
  </mc:AlternateContent>
  <xr:revisionPtr revIDLastSave="0" documentId="13_ncr:1_{65DF5955-2F4F-43B4-9681-8B40C06F9D28}" xr6:coauthVersionLast="47" xr6:coauthVersionMax="47" xr10:uidLastSave="{00000000-0000-0000-0000-000000000000}"/>
  <workbookProtection workbookAlgorithmName="SHA-512" workbookHashValue="OL/2G0iw6kgu7gThLDNFXZHz8AJQU8kxpBl5G520nyQpe+ckoszHC3Y+TbfpnYionPcrhZHCagrL72uELnkVPw==" workbookSaltValue="dvS93VvWxjKjD6daQ0coJw==" workbookSpinCount="100000" lockStructure="1"/>
  <bookViews>
    <workbookView xWindow="-120" yWindow="-120" windowWidth="20730" windowHeight="11310" xr2:uid="{28EA04D8-5EC4-446C-B95D-832998E0B217}"/>
  </bookViews>
  <sheets>
    <sheet name="Dashboard" sheetId="11" r:id="rId1"/>
    <sheet name="Base dinâmica" sheetId="10" r:id="rId2"/>
    <sheet name="Simulação Fluxo de pag." sheetId="2" r:id="rId3"/>
    <sheet name="Price x SAC x SACRE" sheetId="8" r:id="rId4"/>
    <sheet name="INCC" sheetId="1" r:id="rId5"/>
    <sheet name="Planilha1 (2)" sheetId="3" state="hidden" r:id="rId6"/>
  </sheets>
  <definedNames>
    <definedName name="_xlnm.Print_Area" localSheetId="1">'Base dinâmica'!$A$1:$I$11</definedName>
    <definedName name="_xlnm.Print_Area" localSheetId="0">Dashboard!$A$5:$M$37</definedName>
    <definedName name="_xlnm.Print_Area" localSheetId="2">'Simulação Fluxo de pag.'!$A$1:$I$43</definedName>
    <definedName name="Data_Inicio">#REF!</definedName>
    <definedName name="Linha_Cabeçalho">ROW(#REF!)</definedName>
    <definedName name="Num_Pagamentos">#REF!</definedName>
    <definedName name="Pagamento_Num">ROW()-Linha_Cabeçalho</definedName>
    <definedName name="Prazo_Meses">#REF!</definedName>
    <definedName name="Taxa_Jur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1" l="1"/>
  <c r="A39" i="11"/>
  <c r="C3" i="8"/>
  <c r="M5" i="11"/>
  <c r="M2" i="10"/>
  <c r="A17" i="11"/>
  <c r="H4" i="2"/>
  <c r="H4" i="10" s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9" i="2"/>
  <c r="H3" i="2"/>
  <c r="H3" i="10" s="1"/>
  <c r="H5" i="2"/>
  <c r="H5" i="10" s="1"/>
  <c r="H2" i="2"/>
  <c r="H2" i="10" s="1"/>
  <c r="A2" i="2"/>
  <c r="B21" i="11"/>
  <c r="D7" i="11"/>
  <c r="N2" i="10"/>
  <c r="L367" i="10" s="1"/>
  <c r="N3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5" i="10"/>
  <c r="M236" i="10"/>
  <c r="M237" i="10"/>
  <c r="M238" i="10"/>
  <c r="M239" i="10"/>
  <c r="M240" i="10"/>
  <c r="M241" i="10"/>
  <c r="M242" i="10"/>
  <c r="M243" i="10"/>
  <c r="M244" i="10"/>
  <c r="M245" i="10"/>
  <c r="M246" i="10"/>
  <c r="M247" i="10"/>
  <c r="M248" i="10"/>
  <c r="M249" i="10"/>
  <c r="M250" i="10"/>
  <c r="M251" i="10"/>
  <c r="M252" i="10"/>
  <c r="M253" i="10"/>
  <c r="M254" i="10"/>
  <c r="M255" i="10"/>
  <c r="M256" i="10"/>
  <c r="M257" i="10"/>
  <c r="M258" i="10"/>
  <c r="M259" i="10"/>
  <c r="M260" i="10"/>
  <c r="M261" i="10"/>
  <c r="M262" i="10"/>
  <c r="M263" i="10"/>
  <c r="M264" i="10"/>
  <c r="M265" i="10"/>
  <c r="M266" i="10"/>
  <c r="M267" i="10"/>
  <c r="M268" i="10"/>
  <c r="M269" i="10"/>
  <c r="M270" i="10"/>
  <c r="M271" i="10"/>
  <c r="M272" i="10"/>
  <c r="M273" i="10"/>
  <c r="M274" i="10"/>
  <c r="M275" i="10"/>
  <c r="M276" i="10"/>
  <c r="M277" i="10"/>
  <c r="M278" i="10"/>
  <c r="M279" i="10"/>
  <c r="M280" i="10"/>
  <c r="M281" i="10"/>
  <c r="M282" i="10"/>
  <c r="M283" i="10"/>
  <c r="M284" i="10"/>
  <c r="M285" i="10"/>
  <c r="M286" i="10"/>
  <c r="M287" i="10"/>
  <c r="M288" i="10"/>
  <c r="M289" i="10"/>
  <c r="M290" i="10"/>
  <c r="M291" i="10"/>
  <c r="M292" i="10"/>
  <c r="M293" i="10"/>
  <c r="M294" i="10"/>
  <c r="M295" i="10"/>
  <c r="M296" i="10"/>
  <c r="M297" i="10"/>
  <c r="M298" i="10"/>
  <c r="M299" i="10"/>
  <c r="M300" i="10"/>
  <c r="M301" i="10"/>
  <c r="M302" i="10"/>
  <c r="M303" i="10"/>
  <c r="M304" i="10"/>
  <c r="M305" i="10"/>
  <c r="M306" i="10"/>
  <c r="M307" i="10"/>
  <c r="M308" i="10"/>
  <c r="M309" i="10"/>
  <c r="M310" i="10"/>
  <c r="M311" i="10"/>
  <c r="M312" i="10"/>
  <c r="M313" i="10"/>
  <c r="M314" i="10"/>
  <c r="M315" i="10"/>
  <c r="M316" i="10"/>
  <c r="M317" i="10"/>
  <c r="M318" i="10"/>
  <c r="M319" i="10"/>
  <c r="M320" i="10"/>
  <c r="M321" i="10"/>
  <c r="M322" i="10"/>
  <c r="M323" i="10"/>
  <c r="M324" i="10"/>
  <c r="M325" i="10"/>
  <c r="M326" i="10"/>
  <c r="M327" i="10"/>
  <c r="M328" i="10"/>
  <c r="M329" i="10"/>
  <c r="M330" i="10"/>
  <c r="M331" i="10"/>
  <c r="M332" i="10"/>
  <c r="M333" i="10"/>
  <c r="M334" i="10"/>
  <c r="M335" i="10"/>
  <c r="M336" i="10"/>
  <c r="M337" i="10"/>
  <c r="M338" i="10"/>
  <c r="M339" i="10"/>
  <c r="M340" i="10"/>
  <c r="M341" i="10"/>
  <c r="M342" i="10"/>
  <c r="M343" i="10"/>
  <c r="M344" i="10"/>
  <c r="M345" i="10"/>
  <c r="M346" i="10"/>
  <c r="M347" i="10"/>
  <c r="M348" i="10"/>
  <c r="M349" i="10"/>
  <c r="M350" i="10"/>
  <c r="M351" i="10"/>
  <c r="M352" i="10"/>
  <c r="M353" i="10"/>
  <c r="M354" i="10"/>
  <c r="M355" i="10"/>
  <c r="M356" i="10"/>
  <c r="M357" i="10"/>
  <c r="M358" i="10"/>
  <c r="M359" i="10"/>
  <c r="M360" i="10"/>
  <c r="M361" i="10"/>
  <c r="M362" i="10"/>
  <c r="M363" i="10"/>
  <c r="M364" i="10"/>
  <c r="M365" i="10"/>
  <c r="M366" i="10"/>
  <c r="M367" i="10"/>
  <c r="M8" i="10"/>
  <c r="L249" i="10" l="1"/>
  <c r="N249" i="10" s="1"/>
  <c r="L281" i="10"/>
  <c r="N281" i="10" s="1"/>
  <c r="L313" i="10"/>
  <c r="N313" i="10" s="1"/>
  <c r="L345" i="10"/>
  <c r="N345" i="10" s="1"/>
  <c r="L257" i="10"/>
  <c r="N257" i="10" s="1"/>
  <c r="L321" i="10"/>
  <c r="N321" i="10" s="1"/>
  <c r="L233" i="10"/>
  <c r="N233" i="10" s="1"/>
  <c r="L265" i="10"/>
  <c r="N265" i="10" s="1"/>
  <c r="L297" i="10"/>
  <c r="N297" i="10" s="1"/>
  <c r="L329" i="10"/>
  <c r="N329" i="10" s="1"/>
  <c r="L361" i="10"/>
  <c r="N361" i="10" s="1"/>
  <c r="L225" i="10"/>
  <c r="N225" i="10" s="1"/>
  <c r="L289" i="10"/>
  <c r="N289" i="10" s="1"/>
  <c r="L353" i="10"/>
  <c r="N353" i="10" s="1"/>
  <c r="L241" i="10"/>
  <c r="N241" i="10" s="1"/>
  <c r="L273" i="10"/>
  <c r="N273" i="10" s="1"/>
  <c r="L305" i="10"/>
  <c r="N305" i="10" s="1"/>
  <c r="L337" i="10"/>
  <c r="N337" i="10" s="1"/>
  <c r="N367" i="10"/>
  <c r="L236" i="10"/>
  <c r="N236" i="10" s="1"/>
  <c r="L268" i="10"/>
  <c r="N268" i="10" s="1"/>
  <c r="L300" i="10"/>
  <c r="N300" i="10" s="1"/>
  <c r="L348" i="10"/>
  <c r="N348" i="10" s="1"/>
  <c r="L228" i="10"/>
  <c r="N228" i="10" s="1"/>
  <c r="L252" i="10"/>
  <c r="N252" i="10" s="1"/>
  <c r="L276" i="10"/>
  <c r="N276" i="10" s="1"/>
  <c r="L292" i="10"/>
  <c r="N292" i="10" s="1"/>
  <c r="L316" i="10"/>
  <c r="N316" i="10" s="1"/>
  <c r="L332" i="10"/>
  <c r="N332" i="10" s="1"/>
  <c r="L356" i="10"/>
  <c r="N356" i="10" s="1"/>
  <c r="L229" i="10"/>
  <c r="N229" i="10" s="1"/>
  <c r="L237" i="10"/>
  <c r="N237" i="10" s="1"/>
  <c r="L245" i="10"/>
  <c r="N245" i="10" s="1"/>
  <c r="L253" i="10"/>
  <c r="N253" i="10" s="1"/>
  <c r="L261" i="10"/>
  <c r="N261" i="10" s="1"/>
  <c r="L269" i="10"/>
  <c r="N269" i="10" s="1"/>
  <c r="L277" i="10"/>
  <c r="N277" i="10" s="1"/>
  <c r="L285" i="10"/>
  <c r="N285" i="10" s="1"/>
  <c r="L293" i="10"/>
  <c r="N293" i="10" s="1"/>
  <c r="L301" i="10"/>
  <c r="N301" i="10" s="1"/>
  <c r="L309" i="10"/>
  <c r="N309" i="10" s="1"/>
  <c r="L317" i="10"/>
  <c r="N317" i="10" s="1"/>
  <c r="L325" i="10"/>
  <c r="N325" i="10" s="1"/>
  <c r="L333" i="10"/>
  <c r="N333" i="10" s="1"/>
  <c r="L341" i="10"/>
  <c r="N341" i="10" s="1"/>
  <c r="L349" i="10"/>
  <c r="N349" i="10" s="1"/>
  <c r="L357" i="10"/>
  <c r="N357" i="10" s="1"/>
  <c r="L365" i="10"/>
  <c r="N365" i="10" s="1"/>
  <c r="L244" i="10"/>
  <c r="N244" i="10" s="1"/>
  <c r="L260" i="10"/>
  <c r="N260" i="10" s="1"/>
  <c r="L284" i="10"/>
  <c r="N284" i="10" s="1"/>
  <c r="L308" i="10"/>
  <c r="N308" i="10" s="1"/>
  <c r="L324" i="10"/>
  <c r="N324" i="10" s="1"/>
  <c r="L340" i="10"/>
  <c r="N340" i="10" s="1"/>
  <c r="L364" i="10"/>
  <c r="N364" i="10" s="1"/>
  <c r="L224" i="10"/>
  <c r="N224" i="10" s="1"/>
  <c r="L232" i="10"/>
  <c r="N232" i="10" s="1"/>
  <c r="L240" i="10"/>
  <c r="N240" i="10" s="1"/>
  <c r="L248" i="10"/>
  <c r="N248" i="10" s="1"/>
  <c r="L256" i="10"/>
  <c r="N256" i="10" s="1"/>
  <c r="L264" i="10"/>
  <c r="N264" i="10" s="1"/>
  <c r="L272" i="10"/>
  <c r="N272" i="10" s="1"/>
  <c r="L280" i="10"/>
  <c r="N280" i="10" s="1"/>
  <c r="L288" i="10"/>
  <c r="N288" i="10" s="1"/>
  <c r="L296" i="10"/>
  <c r="N296" i="10" s="1"/>
  <c r="L304" i="10"/>
  <c r="N304" i="10" s="1"/>
  <c r="L312" i="10"/>
  <c r="N312" i="10" s="1"/>
  <c r="L320" i="10"/>
  <c r="N320" i="10" s="1"/>
  <c r="L328" i="10"/>
  <c r="N328" i="10" s="1"/>
  <c r="L336" i="10"/>
  <c r="N336" i="10" s="1"/>
  <c r="L344" i="10"/>
  <c r="N344" i="10" s="1"/>
  <c r="L352" i="10"/>
  <c r="N352" i="10" s="1"/>
  <c r="L360" i="10"/>
  <c r="N360" i="10" s="1"/>
  <c r="L230" i="10"/>
  <c r="L238" i="10"/>
  <c r="N238" i="10" s="1"/>
  <c r="L246" i="10"/>
  <c r="N246" i="10" s="1"/>
  <c r="L258" i="10"/>
  <c r="N258" i="10" s="1"/>
  <c r="L270" i="10"/>
  <c r="N270" i="10" s="1"/>
  <c r="L278" i="10"/>
  <c r="N278" i="10" s="1"/>
  <c r="L286" i="10"/>
  <c r="N286" i="10" s="1"/>
  <c r="L298" i="10"/>
  <c r="N298" i="10" s="1"/>
  <c r="L314" i="10"/>
  <c r="N314" i="10" s="1"/>
  <c r="L334" i="10"/>
  <c r="N334" i="10" s="1"/>
  <c r="L366" i="10"/>
  <c r="N366" i="10" s="1"/>
  <c r="L226" i="10"/>
  <c r="L234" i="10"/>
  <c r="N234" i="10" s="1"/>
  <c r="L242" i="10"/>
  <c r="N242" i="10" s="1"/>
  <c r="L250" i="10"/>
  <c r="N250" i="10" s="1"/>
  <c r="L254" i="10"/>
  <c r="N254" i="10" s="1"/>
  <c r="L262" i="10"/>
  <c r="N262" i="10" s="1"/>
  <c r="L266" i="10"/>
  <c r="N266" i="10" s="1"/>
  <c r="L274" i="10"/>
  <c r="N274" i="10" s="1"/>
  <c r="L282" i="10"/>
  <c r="N282" i="10" s="1"/>
  <c r="L290" i="10"/>
  <c r="N290" i="10" s="1"/>
  <c r="L294" i="10"/>
  <c r="N294" i="10" s="1"/>
  <c r="L302" i="10"/>
  <c r="N302" i="10" s="1"/>
  <c r="L306" i="10"/>
  <c r="N306" i="10" s="1"/>
  <c r="L310" i="10"/>
  <c r="N310" i="10" s="1"/>
  <c r="L318" i="10"/>
  <c r="N318" i="10" s="1"/>
  <c r="L322" i="10"/>
  <c r="N322" i="10" s="1"/>
  <c r="L326" i="10"/>
  <c r="N326" i="10" s="1"/>
  <c r="L330" i="10"/>
  <c r="N330" i="10" s="1"/>
  <c r="L338" i="10"/>
  <c r="N338" i="10" s="1"/>
  <c r="L342" i="10"/>
  <c r="N342" i="10" s="1"/>
  <c r="L346" i="10"/>
  <c r="N346" i="10" s="1"/>
  <c r="L350" i="10"/>
  <c r="N350" i="10" s="1"/>
  <c r="L354" i="10"/>
  <c r="N354" i="10" s="1"/>
  <c r="L358" i="10"/>
  <c r="N358" i="10" s="1"/>
  <c r="L362" i="10"/>
  <c r="N362" i="10" s="1"/>
  <c r="L227" i="10"/>
  <c r="N227" i="10" s="1"/>
  <c r="L231" i="10"/>
  <c r="N231" i="10" s="1"/>
  <c r="L235" i="10"/>
  <c r="N235" i="10" s="1"/>
  <c r="L239" i="10"/>
  <c r="N239" i="10" s="1"/>
  <c r="L243" i="10"/>
  <c r="N243" i="10" s="1"/>
  <c r="L247" i="10"/>
  <c r="N247" i="10" s="1"/>
  <c r="L251" i="10"/>
  <c r="N251" i="10" s="1"/>
  <c r="L255" i="10"/>
  <c r="N255" i="10" s="1"/>
  <c r="L259" i="10"/>
  <c r="N259" i="10" s="1"/>
  <c r="L263" i="10"/>
  <c r="N263" i="10" s="1"/>
  <c r="L267" i="10"/>
  <c r="N267" i="10" s="1"/>
  <c r="L271" i="10"/>
  <c r="N271" i="10" s="1"/>
  <c r="L275" i="10"/>
  <c r="N275" i="10" s="1"/>
  <c r="L279" i="10"/>
  <c r="N279" i="10" s="1"/>
  <c r="L283" i="10"/>
  <c r="N283" i="10" s="1"/>
  <c r="L287" i="10"/>
  <c r="N287" i="10" s="1"/>
  <c r="L291" i="10"/>
  <c r="N291" i="10" s="1"/>
  <c r="L295" i="10"/>
  <c r="N295" i="10" s="1"/>
  <c r="L299" i="10"/>
  <c r="N299" i="10" s="1"/>
  <c r="L303" i="10"/>
  <c r="N303" i="10" s="1"/>
  <c r="L307" i="10"/>
  <c r="N307" i="10" s="1"/>
  <c r="L311" i="10"/>
  <c r="N311" i="10" s="1"/>
  <c r="L315" i="10"/>
  <c r="N315" i="10" s="1"/>
  <c r="L319" i="10"/>
  <c r="N319" i="10" s="1"/>
  <c r="L323" i="10"/>
  <c r="N323" i="10" s="1"/>
  <c r="L327" i="10"/>
  <c r="N327" i="10" s="1"/>
  <c r="L331" i="10"/>
  <c r="N331" i="10" s="1"/>
  <c r="L335" i="10"/>
  <c r="N335" i="10" s="1"/>
  <c r="L339" i="10"/>
  <c r="N339" i="10" s="1"/>
  <c r="L343" i="10"/>
  <c r="N343" i="10" s="1"/>
  <c r="L347" i="10"/>
  <c r="N347" i="10" s="1"/>
  <c r="L351" i="10"/>
  <c r="N351" i="10" s="1"/>
  <c r="L355" i="10"/>
  <c r="N355" i="10" s="1"/>
  <c r="L359" i="10"/>
  <c r="N359" i="10" s="1"/>
  <c r="L363" i="10"/>
  <c r="N363" i="10" s="1"/>
  <c r="N226" i="10"/>
  <c r="N230" i="10"/>
  <c r="D8" i="11"/>
  <c r="D9" i="11" s="1"/>
  <c r="D10" i="11" s="1"/>
  <c r="D11" i="11" s="1"/>
  <c r="D12" i="11" s="1"/>
  <c r="D13" i="11" s="1"/>
  <c r="D14" i="11" s="1"/>
  <c r="D15" i="11" s="1"/>
  <c r="D16" i="11" s="1"/>
  <c r="D17" i="11" s="1"/>
  <c r="K7" i="11"/>
  <c r="D18" i="11" l="1"/>
  <c r="K18" i="11"/>
  <c r="K8" i="11"/>
  <c r="D19" i="11" l="1"/>
  <c r="K9" i="11"/>
  <c r="K19" i="11" l="1"/>
  <c r="D20" i="11"/>
  <c r="K10" i="11"/>
  <c r="K20" i="11" l="1"/>
  <c r="D21" i="11"/>
  <c r="K11" i="11"/>
  <c r="K21" i="11" l="1"/>
  <c r="D22" i="11"/>
  <c r="K12" i="11"/>
  <c r="K22" i="11" l="1"/>
  <c r="D23" i="11"/>
  <c r="K13" i="11"/>
  <c r="K23" i="11" l="1"/>
  <c r="D24" i="11"/>
  <c r="K14" i="11"/>
  <c r="K24" i="11" l="1"/>
  <c r="D25" i="11"/>
  <c r="K15" i="11"/>
  <c r="K25" i="11" l="1"/>
  <c r="D26" i="11"/>
  <c r="K16" i="11"/>
  <c r="K26" i="11" l="1"/>
  <c r="D27" i="11"/>
  <c r="K17" i="11"/>
  <c r="K27" i="11" l="1"/>
  <c r="D28" i="11"/>
  <c r="K28" i="11" l="1"/>
  <c r="D29" i="11"/>
  <c r="K29" i="11" l="1"/>
  <c r="D30" i="11"/>
  <c r="D31" i="11" l="1"/>
  <c r="K30" i="11"/>
  <c r="D32" i="11" l="1"/>
  <c r="K31" i="11"/>
  <c r="D33" i="11" l="1"/>
  <c r="K32" i="11"/>
  <c r="D34" i="11" l="1"/>
  <c r="K33" i="11"/>
  <c r="D35" i="11" l="1"/>
  <c r="K34" i="11"/>
  <c r="D36" i="11" l="1"/>
  <c r="K35" i="11"/>
  <c r="K36" i="11" l="1"/>
  <c r="D1" i="10" l="1"/>
  <c r="L189" i="10"/>
  <c r="N189" i="10" s="1"/>
  <c r="L3" i="10"/>
  <c r="L1" i="10"/>
  <c r="A2" i="10"/>
  <c r="C1" i="8"/>
  <c r="B26" i="11"/>
  <c r="H17" i="10" l="1"/>
  <c r="H15" i="10"/>
  <c r="H11" i="10"/>
  <c r="H14" i="10"/>
  <c r="H10" i="10"/>
  <c r="H13" i="10"/>
  <c r="H9" i="10"/>
  <c r="H16" i="10"/>
  <c r="H12" i="10"/>
  <c r="H8" i="10"/>
  <c r="K6" i="11" s="1"/>
  <c r="G18" i="10"/>
  <c r="G14" i="10"/>
  <c r="G10" i="10"/>
  <c r="G17" i="10"/>
  <c r="G13" i="10"/>
  <c r="G9" i="10"/>
  <c r="G16" i="10"/>
  <c r="G12" i="10"/>
  <c r="G8" i="10"/>
  <c r="J6" i="11" s="1"/>
  <c r="G11" i="10"/>
  <c r="G19" i="10"/>
  <c r="G15" i="10"/>
  <c r="B11" i="11"/>
  <c r="C2" i="2"/>
  <c r="B5" i="2" s="1"/>
  <c r="J188" i="10"/>
  <c r="K188" i="10" s="1"/>
  <c r="J322" i="10"/>
  <c r="J318" i="10"/>
  <c r="J314" i="10"/>
  <c r="J310" i="10"/>
  <c r="J306" i="10"/>
  <c r="J302" i="10"/>
  <c r="J298" i="10"/>
  <c r="J294" i="10"/>
  <c r="J290" i="10"/>
  <c r="J286" i="10"/>
  <c r="J282" i="10"/>
  <c r="J278" i="10"/>
  <c r="J274" i="10"/>
  <c r="J270" i="10"/>
  <c r="J266" i="10"/>
  <c r="J262" i="10"/>
  <c r="J258" i="10"/>
  <c r="J254" i="10"/>
  <c r="J250" i="10"/>
  <c r="J246" i="10"/>
  <c r="J242" i="10"/>
  <c r="J367" i="10"/>
  <c r="J366" i="10"/>
  <c r="J365" i="10"/>
  <c r="J364" i="10"/>
  <c r="J363" i="10"/>
  <c r="J362" i="10"/>
  <c r="J361" i="10"/>
  <c r="J360" i="10"/>
  <c r="J359" i="10"/>
  <c r="J358" i="10"/>
  <c r="J357" i="10"/>
  <c r="J356" i="10"/>
  <c r="K356" i="10" s="1"/>
  <c r="J355" i="10"/>
  <c r="J354" i="10"/>
  <c r="J353" i="10"/>
  <c r="J352" i="10"/>
  <c r="J351" i="10"/>
  <c r="J350" i="10"/>
  <c r="J349" i="10"/>
  <c r="J348" i="10"/>
  <c r="J347" i="10"/>
  <c r="J346" i="10"/>
  <c r="J345" i="10"/>
  <c r="J344" i="10"/>
  <c r="K344" i="10" s="1"/>
  <c r="J343" i="10"/>
  <c r="J342" i="10"/>
  <c r="J341" i="10"/>
  <c r="J340" i="10"/>
  <c r="J339" i="10"/>
  <c r="J338" i="10"/>
  <c r="J337" i="10"/>
  <c r="J336" i="10"/>
  <c r="J335" i="10"/>
  <c r="J334" i="10"/>
  <c r="J333" i="10"/>
  <c r="J332" i="10"/>
  <c r="K332" i="10" s="1"/>
  <c r="J331" i="10"/>
  <c r="J330" i="10"/>
  <c r="J329" i="10"/>
  <c r="J328" i="10"/>
  <c r="J327" i="10"/>
  <c r="J326" i="10"/>
  <c r="J325" i="10"/>
  <c r="J321" i="10"/>
  <c r="J317" i="10"/>
  <c r="J313" i="10"/>
  <c r="J309" i="10"/>
  <c r="J305" i="10"/>
  <c r="J301" i="10"/>
  <c r="J297" i="10"/>
  <c r="J293" i="10"/>
  <c r="J289" i="10"/>
  <c r="J285" i="10"/>
  <c r="J281" i="10"/>
  <c r="J277" i="10"/>
  <c r="J273" i="10"/>
  <c r="J269" i="10"/>
  <c r="J265" i="10"/>
  <c r="J261" i="10"/>
  <c r="J257" i="10"/>
  <c r="J253" i="10"/>
  <c r="J249" i="10"/>
  <c r="J245" i="10"/>
  <c r="J241" i="10"/>
  <c r="J323" i="10"/>
  <c r="J319" i="10"/>
  <c r="J315" i="10"/>
  <c r="J311" i="10"/>
  <c r="J307" i="10"/>
  <c r="J303" i="10"/>
  <c r="J299" i="10"/>
  <c r="J295" i="10"/>
  <c r="J291" i="10"/>
  <c r="J287" i="10"/>
  <c r="J283" i="10"/>
  <c r="J279" i="10"/>
  <c r="J275" i="10"/>
  <c r="J271" i="10"/>
  <c r="J267" i="10"/>
  <c r="J263" i="10"/>
  <c r="J259" i="10"/>
  <c r="J255" i="10"/>
  <c r="J251" i="10"/>
  <c r="J247" i="10"/>
  <c r="J243" i="10"/>
  <c r="J239" i="10"/>
  <c r="J238" i="10"/>
  <c r="J234" i="10"/>
  <c r="J230" i="10"/>
  <c r="J226" i="10"/>
  <c r="J324" i="10"/>
  <c r="J320" i="10"/>
  <c r="K320" i="10" s="1"/>
  <c r="J312" i="10"/>
  <c r="J308" i="10"/>
  <c r="K308" i="10" s="1"/>
  <c r="J300" i="10"/>
  <c r="J296" i="10"/>
  <c r="K296" i="10" s="1"/>
  <c r="J284" i="10"/>
  <c r="K284" i="10" s="1"/>
  <c r="J280" i="10"/>
  <c r="J272" i="10"/>
  <c r="K272" i="10" s="1"/>
  <c r="J260" i="10"/>
  <c r="K260" i="10" s="1"/>
  <c r="J256" i="10"/>
  <c r="J237" i="10"/>
  <c r="J233" i="10"/>
  <c r="J229" i="10"/>
  <c r="J225" i="10"/>
  <c r="J236" i="10"/>
  <c r="K236" i="10" s="1"/>
  <c r="J232" i="10"/>
  <c r="J228" i="10"/>
  <c r="J316" i="10"/>
  <c r="J304" i="10"/>
  <c r="J292" i="10"/>
  <c r="J288" i="10"/>
  <c r="J276" i="10"/>
  <c r="J268" i="10"/>
  <c r="J264" i="10"/>
  <c r="J252" i="10"/>
  <c r="J244" i="10"/>
  <c r="J231" i="10"/>
  <c r="J248" i="10"/>
  <c r="K248" i="10" s="1"/>
  <c r="J235" i="10"/>
  <c r="J224" i="10"/>
  <c r="J240" i="10"/>
  <c r="J227" i="10"/>
  <c r="L88" i="10"/>
  <c r="N88" i="10" s="1"/>
  <c r="L220" i="10"/>
  <c r="N220" i="10" s="1"/>
  <c r="L40" i="10"/>
  <c r="N40" i="10" s="1"/>
  <c r="J184" i="10"/>
  <c r="J221" i="10"/>
  <c r="J223" i="10"/>
  <c r="J196" i="10"/>
  <c r="J200" i="10"/>
  <c r="K200" i="10" s="1"/>
  <c r="J204" i="10"/>
  <c r="J208" i="10"/>
  <c r="J212" i="10"/>
  <c r="K212" i="10" s="1"/>
  <c r="J216" i="10"/>
  <c r="J220" i="10"/>
  <c r="J193" i="10"/>
  <c r="J197" i="10"/>
  <c r="J201" i="10"/>
  <c r="J205" i="10"/>
  <c r="J209" i="10"/>
  <c r="J213" i="10"/>
  <c r="J217" i="10"/>
  <c r="J189" i="10"/>
  <c r="J191" i="10"/>
  <c r="J194" i="10"/>
  <c r="J198" i="10"/>
  <c r="J202" i="10"/>
  <c r="J206" i="10"/>
  <c r="J210" i="10"/>
  <c r="J214" i="10"/>
  <c r="J218" i="10"/>
  <c r="J190" i="10"/>
  <c r="L9" i="10"/>
  <c r="N9" i="10" s="1"/>
  <c r="L194" i="10"/>
  <c r="N194" i="10" s="1"/>
  <c r="L198" i="10"/>
  <c r="N198" i="10" s="1"/>
  <c r="L202" i="10"/>
  <c r="N202" i="10" s="1"/>
  <c r="L206" i="10"/>
  <c r="N206" i="10" s="1"/>
  <c r="L210" i="10"/>
  <c r="N210" i="10" s="1"/>
  <c r="L214" i="10"/>
  <c r="N214" i="10" s="1"/>
  <c r="L218" i="10"/>
  <c r="N218" i="10" s="1"/>
  <c r="L188" i="10"/>
  <c r="N188" i="10" s="1"/>
  <c r="L190" i="10"/>
  <c r="N190" i="10" s="1"/>
  <c r="L192" i="10"/>
  <c r="N192" i="10" s="1"/>
  <c r="L104" i="10"/>
  <c r="N104" i="10" s="1"/>
  <c r="L2" i="10"/>
  <c r="L222" i="10"/>
  <c r="N222" i="10" s="1"/>
  <c r="L195" i="10"/>
  <c r="N195" i="10" s="1"/>
  <c r="L199" i="10"/>
  <c r="N199" i="10" s="1"/>
  <c r="L203" i="10"/>
  <c r="N203" i="10" s="1"/>
  <c r="L207" i="10"/>
  <c r="N207" i="10" s="1"/>
  <c r="L211" i="10"/>
  <c r="N211" i="10" s="1"/>
  <c r="L215" i="10"/>
  <c r="N215" i="10" s="1"/>
  <c r="L219" i="10"/>
  <c r="N219" i="10" s="1"/>
  <c r="L24" i="10"/>
  <c r="N24" i="10" s="1"/>
  <c r="L152" i="10"/>
  <c r="N152" i="10" s="1"/>
  <c r="L221" i="10"/>
  <c r="N221" i="10" s="1"/>
  <c r="L223" i="10"/>
  <c r="N223" i="10" s="1"/>
  <c r="L196" i="10"/>
  <c r="N196" i="10" s="1"/>
  <c r="L200" i="10"/>
  <c r="N200" i="10" s="1"/>
  <c r="L204" i="10"/>
  <c r="N204" i="10" s="1"/>
  <c r="L208" i="10"/>
  <c r="N208" i="10" s="1"/>
  <c r="L212" i="10"/>
  <c r="N212" i="10" s="1"/>
  <c r="L216" i="10"/>
  <c r="N216" i="10" s="1"/>
  <c r="J192" i="10"/>
  <c r="L191" i="10"/>
  <c r="N191" i="10" s="1"/>
  <c r="L168" i="10"/>
  <c r="N168" i="10" s="1"/>
  <c r="J219" i="10"/>
  <c r="L217" i="10"/>
  <c r="N217" i="10" s="1"/>
  <c r="J215" i="10"/>
  <c r="L213" i="10"/>
  <c r="N213" i="10" s="1"/>
  <c r="J211" i="10"/>
  <c r="L209" i="10"/>
  <c r="N209" i="10" s="1"/>
  <c r="J207" i="10"/>
  <c r="L205" i="10"/>
  <c r="N205" i="10" s="1"/>
  <c r="J203" i="10"/>
  <c r="L201" i="10"/>
  <c r="N201" i="10" s="1"/>
  <c r="J199" i="10"/>
  <c r="L197" i="10"/>
  <c r="N197" i="10" s="1"/>
  <c r="J195" i="10"/>
  <c r="L193" i="10"/>
  <c r="N193" i="10" s="1"/>
  <c r="J222" i="10"/>
  <c r="L136" i="10"/>
  <c r="N136" i="10" s="1"/>
  <c r="L72" i="10"/>
  <c r="N72" i="10" s="1"/>
  <c r="L184" i="10"/>
  <c r="N184" i="10" s="1"/>
  <c r="L120" i="10"/>
  <c r="N120" i="10" s="1"/>
  <c r="L56" i="10"/>
  <c r="N56" i="10" s="1"/>
  <c r="L180" i="10"/>
  <c r="N180" i="10" s="1"/>
  <c r="L164" i="10"/>
  <c r="N164" i="10" s="1"/>
  <c r="L148" i="10"/>
  <c r="N148" i="10" s="1"/>
  <c r="L132" i="10"/>
  <c r="N132" i="10" s="1"/>
  <c r="L116" i="10"/>
  <c r="N116" i="10" s="1"/>
  <c r="L100" i="10"/>
  <c r="N100" i="10" s="1"/>
  <c r="L84" i="10"/>
  <c r="N84" i="10" s="1"/>
  <c r="L68" i="10"/>
  <c r="N68" i="10" s="1"/>
  <c r="L52" i="10"/>
  <c r="N52" i="10" s="1"/>
  <c r="L36" i="10"/>
  <c r="N36" i="10" s="1"/>
  <c r="L20" i="10"/>
  <c r="N20" i="10" s="1"/>
  <c r="L176" i="10"/>
  <c r="N176" i="10" s="1"/>
  <c r="L160" i="10"/>
  <c r="N160" i="10" s="1"/>
  <c r="L144" i="10"/>
  <c r="N144" i="10" s="1"/>
  <c r="L128" i="10"/>
  <c r="N128" i="10" s="1"/>
  <c r="L112" i="10"/>
  <c r="N112" i="10" s="1"/>
  <c r="L96" i="10"/>
  <c r="N96" i="10" s="1"/>
  <c r="L80" i="10"/>
  <c r="N80" i="10" s="1"/>
  <c r="L64" i="10"/>
  <c r="N64" i="10" s="1"/>
  <c r="L48" i="10"/>
  <c r="N48" i="10" s="1"/>
  <c r="L32" i="10"/>
  <c r="N32" i="10" s="1"/>
  <c r="L16" i="10"/>
  <c r="N16" i="10" s="1"/>
  <c r="L8" i="10"/>
  <c r="N8" i="10" s="1"/>
  <c r="L172" i="10"/>
  <c r="N172" i="10" s="1"/>
  <c r="L156" i="10"/>
  <c r="N156" i="10" s="1"/>
  <c r="L140" i="10"/>
  <c r="N140" i="10" s="1"/>
  <c r="L124" i="10"/>
  <c r="N124" i="10" s="1"/>
  <c r="L108" i="10"/>
  <c r="N108" i="10" s="1"/>
  <c r="L92" i="10"/>
  <c r="N92" i="10" s="1"/>
  <c r="L76" i="10"/>
  <c r="N76" i="10" s="1"/>
  <c r="L60" i="10"/>
  <c r="N60" i="10" s="1"/>
  <c r="L44" i="10"/>
  <c r="N44" i="10" s="1"/>
  <c r="L28" i="10"/>
  <c r="N28" i="10" s="1"/>
  <c r="L12" i="10"/>
  <c r="N12" i="10" s="1"/>
  <c r="J53" i="10"/>
  <c r="J85" i="10"/>
  <c r="J133" i="10"/>
  <c r="J9" i="10"/>
  <c r="J25" i="10"/>
  <c r="J41" i="10"/>
  <c r="J57" i="10"/>
  <c r="J73" i="10"/>
  <c r="J89" i="10"/>
  <c r="J105" i="10"/>
  <c r="J121" i="10"/>
  <c r="J137" i="10"/>
  <c r="J153" i="10"/>
  <c r="J169" i="10"/>
  <c r="J185" i="10"/>
  <c r="L187" i="10"/>
  <c r="N187" i="10" s="1"/>
  <c r="L183" i="10"/>
  <c r="N183" i="10" s="1"/>
  <c r="L179" i="10"/>
  <c r="N179" i="10" s="1"/>
  <c r="L175" i="10"/>
  <c r="N175" i="10" s="1"/>
  <c r="L171" i="10"/>
  <c r="N171" i="10" s="1"/>
  <c r="L167" i="10"/>
  <c r="N167" i="10" s="1"/>
  <c r="L163" i="10"/>
  <c r="N163" i="10" s="1"/>
  <c r="L159" i="10"/>
  <c r="N159" i="10" s="1"/>
  <c r="L155" i="10"/>
  <c r="N155" i="10" s="1"/>
  <c r="L151" i="10"/>
  <c r="N151" i="10" s="1"/>
  <c r="L147" i="10"/>
  <c r="N147" i="10" s="1"/>
  <c r="L143" i="10"/>
  <c r="N143" i="10" s="1"/>
  <c r="L139" i="10"/>
  <c r="N139" i="10" s="1"/>
  <c r="L135" i="10"/>
  <c r="N135" i="10" s="1"/>
  <c r="L131" i="10"/>
  <c r="N131" i="10" s="1"/>
  <c r="L127" i="10"/>
  <c r="N127" i="10" s="1"/>
  <c r="L123" i="10"/>
  <c r="N123" i="10" s="1"/>
  <c r="L119" i="10"/>
  <c r="N119" i="10" s="1"/>
  <c r="L115" i="10"/>
  <c r="N115" i="10" s="1"/>
  <c r="L111" i="10"/>
  <c r="N111" i="10" s="1"/>
  <c r="L107" i="10"/>
  <c r="N107" i="10" s="1"/>
  <c r="L103" i="10"/>
  <c r="N103" i="10" s="1"/>
  <c r="L99" i="10"/>
  <c r="N99" i="10" s="1"/>
  <c r="L95" i="10"/>
  <c r="N95" i="10" s="1"/>
  <c r="L91" i="10"/>
  <c r="N91" i="10" s="1"/>
  <c r="L87" i="10"/>
  <c r="N87" i="10" s="1"/>
  <c r="L83" i="10"/>
  <c r="N83" i="10" s="1"/>
  <c r="L79" i="10"/>
  <c r="N79" i="10" s="1"/>
  <c r="L75" i="10"/>
  <c r="N75" i="10" s="1"/>
  <c r="L71" i="10"/>
  <c r="N71" i="10" s="1"/>
  <c r="L67" i="10"/>
  <c r="N67" i="10" s="1"/>
  <c r="L63" i="10"/>
  <c r="N63" i="10" s="1"/>
  <c r="L59" i="10"/>
  <c r="N59" i="10" s="1"/>
  <c r="L55" i="10"/>
  <c r="N55" i="10" s="1"/>
  <c r="L51" i="10"/>
  <c r="N51" i="10" s="1"/>
  <c r="L47" i="10"/>
  <c r="N47" i="10" s="1"/>
  <c r="L43" i="10"/>
  <c r="N43" i="10" s="1"/>
  <c r="L39" i="10"/>
  <c r="N39" i="10" s="1"/>
  <c r="L35" i="10"/>
  <c r="N35" i="10" s="1"/>
  <c r="L31" i="10"/>
  <c r="N31" i="10" s="1"/>
  <c r="L27" i="10"/>
  <c r="N27" i="10" s="1"/>
  <c r="L23" i="10"/>
  <c r="N23" i="10" s="1"/>
  <c r="L19" i="10"/>
  <c r="N19" i="10" s="1"/>
  <c r="L15" i="10"/>
  <c r="N15" i="10" s="1"/>
  <c r="L11" i="10"/>
  <c r="N11" i="10" s="1"/>
  <c r="J37" i="10"/>
  <c r="J101" i="10"/>
  <c r="J165" i="10"/>
  <c r="J13" i="10"/>
  <c r="J29" i="10"/>
  <c r="J45" i="10"/>
  <c r="J61" i="10"/>
  <c r="J77" i="10"/>
  <c r="J93" i="10"/>
  <c r="J109" i="10"/>
  <c r="J125" i="10"/>
  <c r="J141" i="10"/>
  <c r="J157" i="10"/>
  <c r="J173" i="10"/>
  <c r="L186" i="10"/>
  <c r="N186" i="10" s="1"/>
  <c r="L182" i="10"/>
  <c r="N182" i="10" s="1"/>
  <c r="L178" i="10"/>
  <c r="N178" i="10" s="1"/>
  <c r="L174" i="10"/>
  <c r="N174" i="10" s="1"/>
  <c r="L170" i="10"/>
  <c r="N170" i="10" s="1"/>
  <c r="L166" i="10"/>
  <c r="N166" i="10" s="1"/>
  <c r="L162" i="10"/>
  <c r="N162" i="10" s="1"/>
  <c r="L158" i="10"/>
  <c r="N158" i="10" s="1"/>
  <c r="L154" i="10"/>
  <c r="N154" i="10" s="1"/>
  <c r="L150" i="10"/>
  <c r="N150" i="10" s="1"/>
  <c r="L146" i="10"/>
  <c r="N146" i="10" s="1"/>
  <c r="L142" i="10"/>
  <c r="N142" i="10" s="1"/>
  <c r="L138" i="10"/>
  <c r="N138" i="10" s="1"/>
  <c r="L134" i="10"/>
  <c r="N134" i="10" s="1"/>
  <c r="L130" i="10"/>
  <c r="N130" i="10" s="1"/>
  <c r="L126" i="10"/>
  <c r="N126" i="10" s="1"/>
  <c r="L122" i="10"/>
  <c r="N122" i="10" s="1"/>
  <c r="L118" i="10"/>
  <c r="N118" i="10" s="1"/>
  <c r="L114" i="10"/>
  <c r="N114" i="10" s="1"/>
  <c r="L110" i="10"/>
  <c r="N110" i="10" s="1"/>
  <c r="L106" i="10"/>
  <c r="N106" i="10" s="1"/>
  <c r="L102" i="10"/>
  <c r="N102" i="10" s="1"/>
  <c r="L98" i="10"/>
  <c r="N98" i="10" s="1"/>
  <c r="L94" i="10"/>
  <c r="N94" i="10" s="1"/>
  <c r="L90" i="10"/>
  <c r="N90" i="10" s="1"/>
  <c r="L86" i="10"/>
  <c r="N86" i="10" s="1"/>
  <c r="L82" i="10"/>
  <c r="N82" i="10" s="1"/>
  <c r="L78" i="10"/>
  <c r="N78" i="10" s="1"/>
  <c r="L74" i="10"/>
  <c r="N74" i="10" s="1"/>
  <c r="L70" i="10"/>
  <c r="N70" i="10" s="1"/>
  <c r="L66" i="10"/>
  <c r="N66" i="10" s="1"/>
  <c r="L62" i="10"/>
  <c r="N62" i="10" s="1"/>
  <c r="L58" i="10"/>
  <c r="N58" i="10" s="1"/>
  <c r="L54" i="10"/>
  <c r="N54" i="10" s="1"/>
  <c r="L50" i="10"/>
  <c r="N50" i="10" s="1"/>
  <c r="L46" i="10"/>
  <c r="N46" i="10" s="1"/>
  <c r="L42" i="10"/>
  <c r="N42" i="10" s="1"/>
  <c r="L38" i="10"/>
  <c r="N38" i="10" s="1"/>
  <c r="L34" i="10"/>
  <c r="N34" i="10" s="1"/>
  <c r="L30" i="10"/>
  <c r="N30" i="10" s="1"/>
  <c r="L26" i="10"/>
  <c r="N26" i="10" s="1"/>
  <c r="L22" i="10"/>
  <c r="N22" i="10" s="1"/>
  <c r="L18" i="10"/>
  <c r="N18" i="10" s="1"/>
  <c r="L14" i="10"/>
  <c r="N14" i="10" s="1"/>
  <c r="L10" i="10"/>
  <c r="N10" i="10" s="1"/>
  <c r="J21" i="10"/>
  <c r="J69" i="10"/>
  <c r="J117" i="10"/>
  <c r="J149" i="10"/>
  <c r="J181" i="10"/>
  <c r="J17" i="10"/>
  <c r="J33" i="10"/>
  <c r="J49" i="10"/>
  <c r="J65" i="10"/>
  <c r="J81" i="10"/>
  <c r="J97" i="10"/>
  <c r="J113" i="10"/>
  <c r="J129" i="10"/>
  <c r="J145" i="10"/>
  <c r="J161" i="10"/>
  <c r="J177" i="10"/>
  <c r="L185" i="10"/>
  <c r="N185" i="10" s="1"/>
  <c r="L181" i="10"/>
  <c r="N181" i="10" s="1"/>
  <c r="L177" i="10"/>
  <c r="N177" i="10" s="1"/>
  <c r="L173" i="10"/>
  <c r="N173" i="10" s="1"/>
  <c r="L169" i="10"/>
  <c r="N169" i="10" s="1"/>
  <c r="L165" i="10"/>
  <c r="N165" i="10" s="1"/>
  <c r="L161" i="10"/>
  <c r="N161" i="10" s="1"/>
  <c r="L157" i="10"/>
  <c r="N157" i="10" s="1"/>
  <c r="L153" i="10"/>
  <c r="N153" i="10" s="1"/>
  <c r="L149" i="10"/>
  <c r="N149" i="10" s="1"/>
  <c r="L145" i="10"/>
  <c r="N145" i="10" s="1"/>
  <c r="L141" i="10"/>
  <c r="N141" i="10" s="1"/>
  <c r="L137" i="10"/>
  <c r="N137" i="10" s="1"/>
  <c r="L133" i="10"/>
  <c r="N133" i="10" s="1"/>
  <c r="L129" i="10"/>
  <c r="N129" i="10" s="1"/>
  <c r="L125" i="10"/>
  <c r="N125" i="10" s="1"/>
  <c r="L121" i="10"/>
  <c r="N121" i="10" s="1"/>
  <c r="L117" i="10"/>
  <c r="N117" i="10" s="1"/>
  <c r="L113" i="10"/>
  <c r="N113" i="10" s="1"/>
  <c r="L109" i="10"/>
  <c r="N109" i="10" s="1"/>
  <c r="L105" i="10"/>
  <c r="N105" i="10" s="1"/>
  <c r="L101" i="10"/>
  <c r="N101" i="10" s="1"/>
  <c r="L97" i="10"/>
  <c r="N97" i="10" s="1"/>
  <c r="L93" i="10"/>
  <c r="N93" i="10" s="1"/>
  <c r="L89" i="10"/>
  <c r="N89" i="10" s="1"/>
  <c r="L85" i="10"/>
  <c r="N85" i="10" s="1"/>
  <c r="L81" i="10"/>
  <c r="N81" i="10" s="1"/>
  <c r="L77" i="10"/>
  <c r="N77" i="10" s="1"/>
  <c r="L73" i="10"/>
  <c r="N73" i="10" s="1"/>
  <c r="L69" i="10"/>
  <c r="N69" i="10" s="1"/>
  <c r="L65" i="10"/>
  <c r="N65" i="10" s="1"/>
  <c r="L61" i="10"/>
  <c r="N61" i="10" s="1"/>
  <c r="L57" i="10"/>
  <c r="N57" i="10" s="1"/>
  <c r="L53" i="10"/>
  <c r="N53" i="10" s="1"/>
  <c r="L49" i="10"/>
  <c r="N49" i="10" s="1"/>
  <c r="L45" i="10"/>
  <c r="N45" i="10" s="1"/>
  <c r="L41" i="10"/>
  <c r="N41" i="10" s="1"/>
  <c r="L37" i="10"/>
  <c r="N37" i="10" s="1"/>
  <c r="L33" i="10"/>
  <c r="N33" i="10" s="1"/>
  <c r="L29" i="10"/>
  <c r="N29" i="10" s="1"/>
  <c r="L25" i="10"/>
  <c r="N25" i="10" s="1"/>
  <c r="L21" i="10"/>
  <c r="N21" i="10" s="1"/>
  <c r="L17" i="10"/>
  <c r="N17" i="10" s="1"/>
  <c r="L13" i="10"/>
  <c r="N13" i="10" s="1"/>
  <c r="J10" i="10"/>
  <c r="J14" i="10"/>
  <c r="J18" i="10"/>
  <c r="J22" i="10"/>
  <c r="J26" i="10"/>
  <c r="J30" i="10"/>
  <c r="J34" i="10"/>
  <c r="J38" i="10"/>
  <c r="J42" i="10"/>
  <c r="J46" i="10"/>
  <c r="J50" i="10"/>
  <c r="J54" i="10"/>
  <c r="J58" i="10"/>
  <c r="J62" i="10"/>
  <c r="J66" i="10"/>
  <c r="J70" i="10"/>
  <c r="J74" i="10"/>
  <c r="J78" i="10"/>
  <c r="J82" i="10"/>
  <c r="J86" i="10"/>
  <c r="J90" i="10"/>
  <c r="J94" i="10"/>
  <c r="J98" i="10"/>
  <c r="J102" i="10"/>
  <c r="J106" i="10"/>
  <c r="J110" i="10"/>
  <c r="J114" i="10"/>
  <c r="J118" i="10"/>
  <c r="J122" i="10"/>
  <c r="J126" i="10"/>
  <c r="J130" i="10"/>
  <c r="J134" i="10"/>
  <c r="J138" i="10"/>
  <c r="J142" i="10"/>
  <c r="J146" i="10"/>
  <c r="J150" i="10"/>
  <c r="J154" i="10"/>
  <c r="J158" i="10"/>
  <c r="J162" i="10"/>
  <c r="J166" i="10"/>
  <c r="J170" i="10"/>
  <c r="J174" i="10"/>
  <c r="J178" i="10"/>
  <c r="J182" i="10"/>
  <c r="J186" i="10"/>
  <c r="J11" i="10"/>
  <c r="J15" i="10"/>
  <c r="J19" i="10"/>
  <c r="J23" i="10"/>
  <c r="J27" i="10"/>
  <c r="J31" i="10"/>
  <c r="J35" i="10"/>
  <c r="J39" i="10"/>
  <c r="J43" i="10"/>
  <c r="J47" i="10"/>
  <c r="J51" i="10"/>
  <c r="J55" i="10"/>
  <c r="J59" i="10"/>
  <c r="J63" i="10"/>
  <c r="J67" i="10"/>
  <c r="J71" i="10"/>
  <c r="J75" i="10"/>
  <c r="J79" i="10"/>
  <c r="J83" i="10"/>
  <c r="J87" i="10"/>
  <c r="J91" i="10"/>
  <c r="J95" i="10"/>
  <c r="J99" i="10"/>
  <c r="J103" i="10"/>
  <c r="J107" i="10"/>
  <c r="J111" i="10"/>
  <c r="J115" i="10"/>
  <c r="J119" i="10"/>
  <c r="J123" i="10"/>
  <c r="J127" i="10"/>
  <c r="J131" i="10"/>
  <c r="J135" i="10"/>
  <c r="J139" i="10"/>
  <c r="J143" i="10"/>
  <c r="J147" i="10"/>
  <c r="J151" i="10"/>
  <c r="J155" i="10"/>
  <c r="J159" i="10"/>
  <c r="J163" i="10"/>
  <c r="J167" i="10"/>
  <c r="J171" i="10"/>
  <c r="J175" i="10"/>
  <c r="J179" i="10"/>
  <c r="J183" i="10"/>
  <c r="J187" i="10"/>
  <c r="J8" i="10"/>
  <c r="K8" i="10" s="1"/>
  <c r="J12" i="10"/>
  <c r="J16" i="10"/>
  <c r="J20" i="10"/>
  <c r="K20" i="10" s="1"/>
  <c r="J24" i="10"/>
  <c r="J28" i="10"/>
  <c r="J32" i="10"/>
  <c r="K32" i="10" s="1"/>
  <c r="J36" i="10"/>
  <c r="J40" i="10"/>
  <c r="J44" i="10"/>
  <c r="K44" i="10" s="1"/>
  <c r="J48" i="10"/>
  <c r="J52" i="10"/>
  <c r="J56" i="10"/>
  <c r="K56" i="10" s="1"/>
  <c r="J60" i="10"/>
  <c r="J64" i="10"/>
  <c r="J68" i="10"/>
  <c r="K68" i="10" s="1"/>
  <c r="K69" i="10" s="1"/>
  <c r="J72" i="10"/>
  <c r="J76" i="10"/>
  <c r="J80" i="10"/>
  <c r="K80" i="10" s="1"/>
  <c r="J84" i="10"/>
  <c r="J88" i="10"/>
  <c r="J92" i="10"/>
  <c r="K92" i="10" s="1"/>
  <c r="J96" i="10"/>
  <c r="J100" i="10"/>
  <c r="J104" i="10"/>
  <c r="K104" i="10" s="1"/>
  <c r="K105" i="10" s="1"/>
  <c r="J108" i="10"/>
  <c r="J112" i="10"/>
  <c r="J116" i="10"/>
  <c r="K116" i="10" s="1"/>
  <c r="J120" i="10"/>
  <c r="J124" i="10"/>
  <c r="J128" i="10"/>
  <c r="K128" i="10" s="1"/>
  <c r="K129" i="10" s="1"/>
  <c r="J132" i="10"/>
  <c r="J136" i="10"/>
  <c r="J140" i="10"/>
  <c r="K140" i="10" s="1"/>
  <c r="J144" i="10"/>
  <c r="J148" i="10"/>
  <c r="J152" i="10"/>
  <c r="K152" i="10" s="1"/>
  <c r="J156" i="10"/>
  <c r="J160" i="10"/>
  <c r="J164" i="10"/>
  <c r="K164" i="10" s="1"/>
  <c r="J168" i="10"/>
  <c r="J172" i="10"/>
  <c r="J176" i="10"/>
  <c r="K176" i="10" s="1"/>
  <c r="J180" i="10"/>
  <c r="C2" i="10"/>
  <c r="B31" i="11" l="1"/>
  <c r="B12" i="11"/>
  <c r="B42" i="11"/>
  <c r="B41" i="11"/>
  <c r="B40" i="11"/>
  <c r="B39" i="11"/>
  <c r="J7" i="11"/>
  <c r="K189" i="10"/>
  <c r="K190" i="10" s="1"/>
  <c r="K191" i="10" s="1"/>
  <c r="K192" i="10" s="1"/>
  <c r="K193" i="10" s="1"/>
  <c r="K194" i="10" s="1"/>
  <c r="K195" i="10" s="1"/>
  <c r="K196" i="10" s="1"/>
  <c r="K197" i="10" s="1"/>
  <c r="K198" i="10" s="1"/>
  <c r="K199" i="10" s="1"/>
  <c r="K177" i="10"/>
  <c r="K178" i="10" s="1"/>
  <c r="K179" i="10" s="1"/>
  <c r="K180" i="10" s="1"/>
  <c r="K181" i="10" s="1"/>
  <c r="K182" i="10" s="1"/>
  <c r="K183" i="10" s="1"/>
  <c r="K184" i="10" s="1"/>
  <c r="K185" i="10" s="1"/>
  <c r="K186" i="10" s="1"/>
  <c r="K187" i="10" s="1"/>
  <c r="K33" i="10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201" i="10"/>
  <c r="K202" i="10" s="1"/>
  <c r="K203" i="10" s="1"/>
  <c r="K204" i="10" s="1"/>
  <c r="K205" i="10" s="1"/>
  <c r="K206" i="10" s="1"/>
  <c r="K207" i="10" s="1"/>
  <c r="K208" i="10" s="1"/>
  <c r="K209" i="10" s="1"/>
  <c r="K210" i="10" s="1"/>
  <c r="K211" i="10" s="1"/>
  <c r="K213" i="10"/>
  <c r="K214" i="10" s="1"/>
  <c r="K215" i="10" s="1"/>
  <c r="K216" i="10" s="1"/>
  <c r="K217" i="10" s="1"/>
  <c r="K218" i="10" s="1"/>
  <c r="K219" i="10" s="1"/>
  <c r="K220" i="10" s="1"/>
  <c r="K221" i="10" s="1"/>
  <c r="K222" i="10" s="1"/>
  <c r="K223" i="10" s="1"/>
  <c r="K224" i="10" s="1"/>
  <c r="K225" i="10" s="1"/>
  <c r="K226" i="10" s="1"/>
  <c r="K227" i="10" s="1"/>
  <c r="K228" i="10" s="1"/>
  <c r="K229" i="10" s="1"/>
  <c r="K230" i="10" s="1"/>
  <c r="K231" i="10" s="1"/>
  <c r="K232" i="10" s="1"/>
  <c r="K233" i="10" s="1"/>
  <c r="K234" i="10" s="1"/>
  <c r="K235" i="10" s="1"/>
  <c r="K237" i="10" s="1"/>
  <c r="K238" i="10" s="1"/>
  <c r="K239" i="10" s="1"/>
  <c r="K240" i="10" s="1"/>
  <c r="K241" i="10" s="1"/>
  <c r="K242" i="10" s="1"/>
  <c r="K243" i="10" s="1"/>
  <c r="K244" i="10" s="1"/>
  <c r="K245" i="10" s="1"/>
  <c r="K246" i="10" s="1"/>
  <c r="K247" i="10" s="1"/>
  <c r="K249" i="10" s="1"/>
  <c r="K250" i="10" s="1"/>
  <c r="K251" i="10" s="1"/>
  <c r="K252" i="10" s="1"/>
  <c r="K253" i="10" s="1"/>
  <c r="K254" i="10" s="1"/>
  <c r="K255" i="10" s="1"/>
  <c r="K256" i="10" s="1"/>
  <c r="K257" i="10" s="1"/>
  <c r="K258" i="10" s="1"/>
  <c r="K259" i="10" s="1"/>
  <c r="K261" i="10" s="1"/>
  <c r="K262" i="10" s="1"/>
  <c r="K263" i="10" s="1"/>
  <c r="K264" i="10" s="1"/>
  <c r="K265" i="10" s="1"/>
  <c r="K266" i="10" s="1"/>
  <c r="K267" i="10" s="1"/>
  <c r="K268" i="10" s="1"/>
  <c r="K269" i="10" s="1"/>
  <c r="K270" i="10" s="1"/>
  <c r="K271" i="10" s="1"/>
  <c r="K273" i="10" s="1"/>
  <c r="K274" i="10" s="1"/>
  <c r="K275" i="10" s="1"/>
  <c r="K276" i="10" s="1"/>
  <c r="K277" i="10" s="1"/>
  <c r="K278" i="10" s="1"/>
  <c r="K279" i="10" s="1"/>
  <c r="K280" i="10" s="1"/>
  <c r="K281" i="10" s="1"/>
  <c r="K282" i="10" s="1"/>
  <c r="K283" i="10" s="1"/>
  <c r="K285" i="10" s="1"/>
  <c r="K286" i="10" s="1"/>
  <c r="K287" i="10" s="1"/>
  <c r="K288" i="10" s="1"/>
  <c r="K289" i="10" s="1"/>
  <c r="K290" i="10" s="1"/>
  <c r="K291" i="10" s="1"/>
  <c r="K292" i="10" s="1"/>
  <c r="K293" i="10" s="1"/>
  <c r="K294" i="10" s="1"/>
  <c r="K295" i="10" s="1"/>
  <c r="K297" i="10" s="1"/>
  <c r="K298" i="10" s="1"/>
  <c r="K299" i="10" s="1"/>
  <c r="K300" i="10" s="1"/>
  <c r="K301" i="10" s="1"/>
  <c r="K302" i="10" s="1"/>
  <c r="K303" i="10" s="1"/>
  <c r="K304" i="10" s="1"/>
  <c r="K305" i="10" s="1"/>
  <c r="K306" i="10" s="1"/>
  <c r="K307" i="10" s="1"/>
  <c r="K309" i="10" s="1"/>
  <c r="K310" i="10" s="1"/>
  <c r="K311" i="10" s="1"/>
  <c r="K312" i="10" s="1"/>
  <c r="K313" i="10" s="1"/>
  <c r="K314" i="10" s="1"/>
  <c r="K315" i="10" s="1"/>
  <c r="K316" i="10" s="1"/>
  <c r="K317" i="10" s="1"/>
  <c r="K318" i="10" s="1"/>
  <c r="K319" i="10" s="1"/>
  <c r="K321" i="10" s="1"/>
  <c r="K322" i="10" s="1"/>
  <c r="K323" i="10" s="1"/>
  <c r="K324" i="10" s="1"/>
  <c r="K325" i="10" s="1"/>
  <c r="K326" i="10" s="1"/>
  <c r="K327" i="10" s="1"/>
  <c r="K328" i="10" s="1"/>
  <c r="K329" i="10" s="1"/>
  <c r="K330" i="10" s="1"/>
  <c r="K331" i="10" s="1"/>
  <c r="K333" i="10" s="1"/>
  <c r="K334" i="10" s="1"/>
  <c r="K335" i="10" s="1"/>
  <c r="K336" i="10" s="1"/>
  <c r="K337" i="10" s="1"/>
  <c r="K338" i="10" s="1"/>
  <c r="K339" i="10" s="1"/>
  <c r="K340" i="10" s="1"/>
  <c r="K341" i="10" s="1"/>
  <c r="K342" i="10" s="1"/>
  <c r="K343" i="10" s="1"/>
  <c r="K345" i="10" s="1"/>
  <c r="K346" i="10" s="1"/>
  <c r="K347" i="10" s="1"/>
  <c r="K348" i="10" s="1"/>
  <c r="K349" i="10" s="1"/>
  <c r="K350" i="10" s="1"/>
  <c r="K351" i="10" s="1"/>
  <c r="K352" i="10" s="1"/>
  <c r="K353" i="10" s="1"/>
  <c r="K354" i="10" s="1"/>
  <c r="K355" i="10" s="1"/>
  <c r="K357" i="10" s="1"/>
  <c r="K358" i="10" s="1"/>
  <c r="K359" i="10" s="1"/>
  <c r="K360" i="10" s="1"/>
  <c r="K361" i="10" s="1"/>
  <c r="K362" i="10" s="1"/>
  <c r="K363" i="10" s="1"/>
  <c r="K364" i="10" s="1"/>
  <c r="K365" i="10" s="1"/>
  <c r="K366" i="10" s="1"/>
  <c r="K367" i="10" s="1"/>
  <c r="K117" i="10"/>
  <c r="K118" i="10" s="1"/>
  <c r="K119" i="10" s="1"/>
  <c r="K120" i="10" s="1"/>
  <c r="K121" i="10" s="1"/>
  <c r="K122" i="10" s="1"/>
  <c r="K123" i="10" s="1"/>
  <c r="K124" i="10" s="1"/>
  <c r="K125" i="10" s="1"/>
  <c r="K126" i="10" s="1"/>
  <c r="K127" i="10" s="1"/>
  <c r="K45" i="10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81" i="10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3" i="10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53" i="10"/>
  <c r="K154" i="10" s="1"/>
  <c r="K155" i="10" s="1"/>
  <c r="K156" i="10" s="1"/>
  <c r="K157" i="10" s="1"/>
  <c r="K158" i="10" s="1"/>
  <c r="K159" i="10" s="1"/>
  <c r="K160" i="10" s="1"/>
  <c r="K161" i="10" s="1"/>
  <c r="K162" i="10" s="1"/>
  <c r="K163" i="10" s="1"/>
  <c r="K57" i="10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165" i="10"/>
  <c r="K166" i="10" s="1"/>
  <c r="K167" i="10" s="1"/>
  <c r="K168" i="10" s="1"/>
  <c r="K169" i="10" s="1"/>
  <c r="K170" i="10" s="1"/>
  <c r="K171" i="10" s="1"/>
  <c r="K172" i="10" s="1"/>
  <c r="K173" i="10" s="1"/>
  <c r="K174" i="10" s="1"/>
  <c r="K175" i="10" s="1"/>
  <c r="K141" i="10"/>
  <c r="K142" i="10" s="1"/>
  <c r="K143" i="10" s="1"/>
  <c r="K144" i="10" s="1"/>
  <c r="K145" i="10" s="1"/>
  <c r="K146" i="10" s="1"/>
  <c r="K147" i="10" s="1"/>
  <c r="K148" i="10" s="1"/>
  <c r="K149" i="10" s="1"/>
  <c r="K150" i="10" s="1"/>
  <c r="K151" i="10" s="1"/>
  <c r="K106" i="10"/>
  <c r="K107" i="10" s="1"/>
  <c r="K108" i="10" s="1"/>
  <c r="K109" i="10" s="1"/>
  <c r="K110" i="10" s="1"/>
  <c r="K111" i="10" s="1"/>
  <c r="K112" i="10" s="1"/>
  <c r="K113" i="10" s="1"/>
  <c r="K114" i="10" s="1"/>
  <c r="K115" i="10" s="1"/>
  <c r="K9" i="10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1" i="10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70" i="10"/>
  <c r="K71" i="10" s="1"/>
  <c r="K72" i="10" s="1"/>
  <c r="K73" i="10" s="1"/>
  <c r="K74" i="10" s="1"/>
  <c r="K75" i="10" s="1"/>
  <c r="K76" i="10" s="1"/>
  <c r="K77" i="10" s="1"/>
  <c r="K78" i="10" s="1"/>
  <c r="K79" i="10" s="1"/>
  <c r="K130" i="10"/>
  <c r="K131" i="10" s="1"/>
  <c r="K132" i="10" s="1"/>
  <c r="K133" i="10" s="1"/>
  <c r="K134" i="10" s="1"/>
  <c r="K135" i="10" s="1"/>
  <c r="K136" i="10" s="1"/>
  <c r="K137" i="10" s="1"/>
  <c r="K138" i="10" s="1"/>
  <c r="K139" i="10" s="1"/>
  <c r="F12" i="10"/>
  <c r="F14" i="10"/>
  <c r="I14" i="10" s="1"/>
  <c r="F13" i="10"/>
  <c r="I13" i="10" s="1"/>
  <c r="F11" i="10"/>
  <c r="I11" i="10" s="1"/>
  <c r="F16" i="10"/>
  <c r="I16" i="10" s="1"/>
  <c r="F18" i="10"/>
  <c r="I18" i="10" s="1"/>
  <c r="F17" i="10"/>
  <c r="I17" i="10" s="1"/>
  <c r="F15" i="10"/>
  <c r="I15" i="10" s="1"/>
  <c r="F19" i="10"/>
  <c r="F8" i="10"/>
  <c r="I6" i="11" s="1"/>
  <c r="F10" i="10"/>
  <c r="I10" i="10" s="1"/>
  <c r="F9" i="10"/>
  <c r="I9" i="10" s="1"/>
  <c r="H6" i="10"/>
  <c r="B43" i="11" l="1"/>
  <c r="G20" i="10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H20" i="10"/>
  <c r="H21" i="10" s="1"/>
  <c r="H22" i="10" s="1"/>
  <c r="H23" i="10" s="1"/>
  <c r="H24" i="10" s="1"/>
  <c r="H25" i="10" s="1"/>
  <c r="H26" i="10" s="1"/>
  <c r="H27" i="10" s="1"/>
  <c r="H28" i="10" s="1"/>
  <c r="H29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4" i="10" s="1"/>
  <c r="H105" i="10" s="1"/>
  <c r="H106" i="10" s="1"/>
  <c r="H107" i="10" s="1"/>
  <c r="H108" i="10" s="1"/>
  <c r="H109" i="10" s="1"/>
  <c r="H110" i="10" s="1"/>
  <c r="H111" i="10" s="1"/>
  <c r="H112" i="10" s="1"/>
  <c r="H113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40" i="10" s="1"/>
  <c r="H141" i="10" s="1"/>
  <c r="H142" i="10" s="1"/>
  <c r="H143" i="10" s="1"/>
  <c r="H144" i="10" s="1"/>
  <c r="H145" i="10" s="1"/>
  <c r="H146" i="10" s="1"/>
  <c r="H147" i="10" s="1"/>
  <c r="H148" i="10" s="1"/>
  <c r="H149" i="10" s="1"/>
  <c r="H152" i="10" s="1"/>
  <c r="H153" i="10" s="1"/>
  <c r="H154" i="10" s="1"/>
  <c r="H155" i="10" s="1"/>
  <c r="H156" i="10" s="1"/>
  <c r="H157" i="10" s="1"/>
  <c r="H158" i="10" s="1"/>
  <c r="H159" i="10" s="1"/>
  <c r="H160" i="10" s="1"/>
  <c r="H161" i="10" s="1"/>
  <c r="H164" i="10" s="1"/>
  <c r="H165" i="10" s="1"/>
  <c r="H166" i="10" s="1"/>
  <c r="H167" i="10" s="1"/>
  <c r="H168" i="10" s="1"/>
  <c r="H169" i="10" s="1"/>
  <c r="H170" i="10" s="1"/>
  <c r="H171" i="10" s="1"/>
  <c r="H172" i="10" s="1"/>
  <c r="H173" i="10" s="1"/>
  <c r="H176" i="10" s="1"/>
  <c r="H177" i="10" s="1"/>
  <c r="H178" i="10" s="1"/>
  <c r="H179" i="10" s="1"/>
  <c r="H180" i="10" s="1"/>
  <c r="H181" i="10" s="1"/>
  <c r="H182" i="10" s="1"/>
  <c r="H183" i="10" s="1"/>
  <c r="H184" i="10" s="1"/>
  <c r="H185" i="10" s="1"/>
  <c r="H188" i="10" s="1"/>
  <c r="H189" i="10" s="1"/>
  <c r="H190" i="10" s="1"/>
  <c r="H191" i="10" s="1"/>
  <c r="H192" i="10" s="1"/>
  <c r="H193" i="10" s="1"/>
  <c r="H194" i="10" s="1"/>
  <c r="H195" i="10" s="1"/>
  <c r="H196" i="10" s="1"/>
  <c r="H197" i="10" s="1"/>
  <c r="H200" i="10" s="1"/>
  <c r="H201" i="10" s="1"/>
  <c r="H202" i="10" s="1"/>
  <c r="H203" i="10" s="1"/>
  <c r="H204" i="10" s="1"/>
  <c r="H205" i="10" s="1"/>
  <c r="H206" i="10" s="1"/>
  <c r="H207" i="10" s="1"/>
  <c r="H208" i="10" s="1"/>
  <c r="H209" i="10" s="1"/>
  <c r="H212" i="10" s="1"/>
  <c r="H213" i="10" s="1"/>
  <c r="H214" i="10" s="1"/>
  <c r="H215" i="10" s="1"/>
  <c r="H216" i="10" s="1"/>
  <c r="H217" i="10" s="1"/>
  <c r="H218" i="10" s="1"/>
  <c r="H219" i="10" s="1"/>
  <c r="H220" i="10" s="1"/>
  <c r="H221" i="10" s="1"/>
  <c r="H224" i="10" s="1"/>
  <c r="H225" i="10" s="1"/>
  <c r="H226" i="10" s="1"/>
  <c r="H227" i="10" s="1"/>
  <c r="H228" i="10" s="1"/>
  <c r="H229" i="10" s="1"/>
  <c r="H230" i="10" s="1"/>
  <c r="H231" i="10" s="1"/>
  <c r="H232" i="10" s="1"/>
  <c r="H233" i="10" s="1"/>
  <c r="H236" i="10" s="1"/>
  <c r="H237" i="10" s="1"/>
  <c r="H238" i="10" s="1"/>
  <c r="H239" i="10" s="1"/>
  <c r="H240" i="10" s="1"/>
  <c r="H241" i="10" s="1"/>
  <c r="H242" i="10" s="1"/>
  <c r="H243" i="10" s="1"/>
  <c r="H244" i="10" s="1"/>
  <c r="H245" i="10" s="1"/>
  <c r="H248" i="10" s="1"/>
  <c r="H249" i="10" s="1"/>
  <c r="H250" i="10" s="1"/>
  <c r="H251" i="10" s="1"/>
  <c r="H252" i="10" s="1"/>
  <c r="H253" i="10" s="1"/>
  <c r="H254" i="10" s="1"/>
  <c r="H255" i="10" s="1"/>
  <c r="H256" i="10" s="1"/>
  <c r="H257" i="10" s="1"/>
  <c r="H260" i="10" s="1"/>
  <c r="H261" i="10" s="1"/>
  <c r="H262" i="10" s="1"/>
  <c r="H263" i="10" s="1"/>
  <c r="H264" i="10" s="1"/>
  <c r="H265" i="10" s="1"/>
  <c r="H266" i="10" s="1"/>
  <c r="H267" i="10" s="1"/>
  <c r="H268" i="10" s="1"/>
  <c r="H269" i="10" s="1"/>
  <c r="H272" i="10" s="1"/>
  <c r="H273" i="10" s="1"/>
  <c r="H274" i="10" s="1"/>
  <c r="H275" i="10" s="1"/>
  <c r="H276" i="10" s="1"/>
  <c r="H277" i="10" s="1"/>
  <c r="H278" i="10" s="1"/>
  <c r="H279" i="10" s="1"/>
  <c r="H280" i="10" s="1"/>
  <c r="H281" i="10" s="1"/>
  <c r="H284" i="10" s="1"/>
  <c r="H285" i="10" s="1"/>
  <c r="H286" i="10" s="1"/>
  <c r="H287" i="10" s="1"/>
  <c r="H288" i="10" s="1"/>
  <c r="H289" i="10" s="1"/>
  <c r="H290" i="10" s="1"/>
  <c r="H291" i="10" s="1"/>
  <c r="H292" i="10" s="1"/>
  <c r="H293" i="10" s="1"/>
  <c r="H296" i="10" s="1"/>
  <c r="H297" i="10" s="1"/>
  <c r="H298" i="10" s="1"/>
  <c r="H299" i="10" s="1"/>
  <c r="H300" i="10" s="1"/>
  <c r="H301" i="10" s="1"/>
  <c r="H302" i="10" s="1"/>
  <c r="H303" i="10" s="1"/>
  <c r="H304" i="10" s="1"/>
  <c r="H305" i="10" s="1"/>
  <c r="H308" i="10" s="1"/>
  <c r="H309" i="10" s="1"/>
  <c r="H310" i="10" s="1"/>
  <c r="H311" i="10" s="1"/>
  <c r="H312" i="10" s="1"/>
  <c r="H313" i="10" s="1"/>
  <c r="H314" i="10" s="1"/>
  <c r="H315" i="10" s="1"/>
  <c r="H316" i="10" s="1"/>
  <c r="H317" i="10" s="1"/>
  <c r="H320" i="10" s="1"/>
  <c r="H321" i="10" s="1"/>
  <c r="H322" i="10" s="1"/>
  <c r="H323" i="10" s="1"/>
  <c r="H324" i="10" s="1"/>
  <c r="H325" i="10" s="1"/>
  <c r="H326" i="10" s="1"/>
  <c r="H327" i="10" s="1"/>
  <c r="H328" i="10" s="1"/>
  <c r="H329" i="10" s="1"/>
  <c r="H332" i="10" s="1"/>
  <c r="H333" i="10" s="1"/>
  <c r="H334" i="10" s="1"/>
  <c r="H335" i="10" s="1"/>
  <c r="H336" i="10" s="1"/>
  <c r="H337" i="10" s="1"/>
  <c r="H338" i="10" s="1"/>
  <c r="H339" i="10" s="1"/>
  <c r="H340" i="10" s="1"/>
  <c r="H341" i="10" s="1"/>
  <c r="H344" i="10" s="1"/>
  <c r="H345" i="10" s="1"/>
  <c r="H346" i="10" s="1"/>
  <c r="H347" i="10" s="1"/>
  <c r="H348" i="10" s="1"/>
  <c r="H349" i="10" s="1"/>
  <c r="H350" i="10" s="1"/>
  <c r="H351" i="10" s="1"/>
  <c r="H352" i="10" s="1"/>
  <c r="H353" i="10" s="1"/>
  <c r="H356" i="10" s="1"/>
  <c r="H357" i="10" s="1"/>
  <c r="H358" i="10" s="1"/>
  <c r="H359" i="10" s="1"/>
  <c r="H360" i="10" s="1"/>
  <c r="H361" i="10" s="1"/>
  <c r="H362" i="10" s="1"/>
  <c r="H363" i="10" s="1"/>
  <c r="H364" i="10" s="1"/>
  <c r="H365" i="10" s="1"/>
  <c r="I7" i="11"/>
  <c r="F20" i="10"/>
  <c r="I12" i="10"/>
  <c r="I8" i="10"/>
  <c r="L5" i="10" s="1"/>
  <c r="I19" i="10"/>
  <c r="L7" i="11" s="1"/>
  <c r="G5" i="2"/>
  <c r="G5" i="10" s="1"/>
  <c r="G4" i="2"/>
  <c r="G4" i="10" s="1"/>
  <c r="G3" i="2"/>
  <c r="G3" i="10" s="1"/>
  <c r="G2" i="2"/>
  <c r="G2" i="10" s="1"/>
  <c r="F21" i="10" l="1"/>
  <c r="I20" i="10"/>
  <c r="L6" i="11"/>
  <c r="G32" i="10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J8" i="11"/>
  <c r="C2" i="8"/>
  <c r="I5" i="2"/>
  <c r="I5" i="10" s="1"/>
  <c r="I4" i="2"/>
  <c r="I4" i="10" s="1"/>
  <c r="I2" i="2"/>
  <c r="I2" i="10" s="1"/>
  <c r="I3" i="2"/>
  <c r="G10" i="2"/>
  <c r="G11" i="2" s="1"/>
  <c r="T12" i="3"/>
  <c r="Q15" i="3"/>
  <c r="Q21" i="3"/>
  <c r="Q22" i="3" s="1"/>
  <c r="Q23" i="3" s="1"/>
  <c r="R21" i="3"/>
  <c r="S21" i="3"/>
  <c r="T21" i="3"/>
  <c r="R22" i="3"/>
  <c r="R23" i="3" s="1"/>
  <c r="S22" i="3"/>
  <c r="T22" i="3"/>
  <c r="S23" i="3"/>
  <c r="T23" i="3"/>
  <c r="M30" i="3"/>
  <c r="M31" i="3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G44" i="10" l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J9" i="11"/>
  <c r="F22" i="10"/>
  <c r="I21" i="10"/>
  <c r="L6" i="10"/>
  <c r="B42" i="2"/>
  <c r="I3" i="10"/>
  <c r="I6" i="10" s="1"/>
  <c r="B9" i="2"/>
  <c r="C9" i="2" s="1"/>
  <c r="B13" i="2"/>
  <c r="B17" i="2"/>
  <c r="B22" i="2"/>
  <c r="B26" i="2"/>
  <c r="B30" i="2"/>
  <c r="B35" i="2"/>
  <c r="B39" i="2"/>
  <c r="B19" i="2"/>
  <c r="B10" i="2"/>
  <c r="C10" i="2" s="1"/>
  <c r="B14" i="2"/>
  <c r="B18" i="2"/>
  <c r="B23" i="2"/>
  <c r="B27" i="2"/>
  <c r="B32" i="2"/>
  <c r="B36" i="2"/>
  <c r="B40" i="2"/>
  <c r="B31" i="2"/>
  <c r="B11" i="2"/>
  <c r="C11" i="2" s="1"/>
  <c r="B15" i="2"/>
  <c r="B20" i="2"/>
  <c r="B24" i="2"/>
  <c r="B28" i="2"/>
  <c r="B33" i="2"/>
  <c r="B37" i="2"/>
  <c r="B41" i="2"/>
  <c r="B43" i="2"/>
  <c r="B12" i="2"/>
  <c r="B16" i="2"/>
  <c r="B21" i="2"/>
  <c r="B25" i="2"/>
  <c r="B29" i="2"/>
  <c r="B34" i="2"/>
  <c r="B38" i="2"/>
  <c r="G12" i="2"/>
  <c r="F23" i="10" l="1"/>
  <c r="I22" i="10"/>
  <c r="G56" i="10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J10" i="11"/>
  <c r="C12" i="2"/>
  <c r="G13" i="2"/>
  <c r="C13" i="2" s="1"/>
  <c r="G68" i="10" l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J11" i="11"/>
  <c r="F24" i="10"/>
  <c r="I23" i="10"/>
  <c r="G14" i="2"/>
  <c r="C14" i="2" s="1"/>
  <c r="F25" i="10" l="1"/>
  <c r="I24" i="10"/>
  <c r="G80" i="10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J12" i="11"/>
  <c r="G15" i="2"/>
  <c r="C15" i="2" s="1"/>
  <c r="G92" i="10" l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J13" i="11"/>
  <c r="F26" i="10"/>
  <c r="I25" i="10"/>
  <c r="G16" i="2"/>
  <c r="C16" i="2" s="1"/>
  <c r="F27" i="10" l="1"/>
  <c r="I26" i="10"/>
  <c r="G104" i="10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G115" i="10" s="1"/>
  <c r="J14" i="11"/>
  <c r="G17" i="2"/>
  <c r="C17" i="2" s="1"/>
  <c r="G116" i="10" l="1"/>
  <c r="G117" i="10" s="1"/>
  <c r="G118" i="10" s="1"/>
  <c r="G119" i="10" s="1"/>
  <c r="G120" i="10" s="1"/>
  <c r="G121" i="10" s="1"/>
  <c r="G122" i="10" s="1"/>
  <c r="G123" i="10" s="1"/>
  <c r="G124" i="10" s="1"/>
  <c r="G125" i="10" s="1"/>
  <c r="G126" i="10" s="1"/>
  <c r="G127" i="10" s="1"/>
  <c r="J15" i="11"/>
  <c r="F28" i="10"/>
  <c r="I27" i="10"/>
  <c r="G18" i="2"/>
  <c r="C18" i="2" s="1"/>
  <c r="F29" i="10" l="1"/>
  <c r="I28" i="10"/>
  <c r="G128" i="10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J16" i="11"/>
  <c r="G19" i="2"/>
  <c r="C19" i="2" s="1"/>
  <c r="G140" i="10" l="1"/>
  <c r="G141" i="10" s="1"/>
  <c r="G142" i="10" s="1"/>
  <c r="G143" i="10" s="1"/>
  <c r="G144" i="10" s="1"/>
  <c r="G145" i="10" s="1"/>
  <c r="G146" i="10" s="1"/>
  <c r="G147" i="10" s="1"/>
  <c r="G148" i="10" s="1"/>
  <c r="G149" i="10" s="1"/>
  <c r="G150" i="10" s="1"/>
  <c r="G151" i="10" s="1"/>
  <c r="J17" i="11"/>
  <c r="F30" i="10"/>
  <c r="I29" i="10"/>
  <c r="G20" i="2"/>
  <c r="C20" i="2" s="1"/>
  <c r="F31" i="10" l="1"/>
  <c r="I30" i="10"/>
  <c r="G152" i="10"/>
  <c r="G153" i="10" s="1"/>
  <c r="G154" i="10" s="1"/>
  <c r="G155" i="10" s="1"/>
  <c r="G156" i="10" s="1"/>
  <c r="G157" i="10" s="1"/>
  <c r="G158" i="10" s="1"/>
  <c r="G159" i="10" s="1"/>
  <c r="G160" i="10" s="1"/>
  <c r="G161" i="10" s="1"/>
  <c r="G162" i="10" s="1"/>
  <c r="G163" i="10" s="1"/>
  <c r="J18" i="11"/>
  <c r="G21" i="2"/>
  <c r="C21" i="2" s="1"/>
  <c r="G164" i="10" l="1"/>
  <c r="G165" i="10" s="1"/>
  <c r="G166" i="10" s="1"/>
  <c r="G167" i="10" s="1"/>
  <c r="G168" i="10" s="1"/>
  <c r="G169" i="10" s="1"/>
  <c r="G170" i="10" s="1"/>
  <c r="G171" i="10" s="1"/>
  <c r="G172" i="10" s="1"/>
  <c r="G173" i="10" s="1"/>
  <c r="G174" i="10" s="1"/>
  <c r="G175" i="10" s="1"/>
  <c r="J19" i="11"/>
  <c r="F32" i="10"/>
  <c r="I8" i="11"/>
  <c r="I31" i="10"/>
  <c r="G22" i="2"/>
  <c r="C22" i="2" s="1"/>
  <c r="F33" i="10" l="1"/>
  <c r="I32" i="10"/>
  <c r="L8" i="11"/>
  <c r="G176" i="10"/>
  <c r="G177" i="10" s="1"/>
  <c r="G178" i="10" s="1"/>
  <c r="G179" i="10" s="1"/>
  <c r="G180" i="10" s="1"/>
  <c r="G181" i="10" s="1"/>
  <c r="G182" i="10" s="1"/>
  <c r="G183" i="10" s="1"/>
  <c r="G184" i="10" s="1"/>
  <c r="G185" i="10" s="1"/>
  <c r="G186" i="10" s="1"/>
  <c r="G187" i="10" s="1"/>
  <c r="J20" i="11"/>
  <c r="G23" i="2"/>
  <c r="C23" i="2" s="1"/>
  <c r="G188" i="10" l="1"/>
  <c r="G189" i="10" s="1"/>
  <c r="G190" i="10" s="1"/>
  <c r="G191" i="10" s="1"/>
  <c r="G192" i="10" s="1"/>
  <c r="G193" i="10" s="1"/>
  <c r="G194" i="10" s="1"/>
  <c r="G195" i="10" s="1"/>
  <c r="G196" i="10" s="1"/>
  <c r="G197" i="10" s="1"/>
  <c r="G198" i="10" s="1"/>
  <c r="G199" i="10" s="1"/>
  <c r="J21" i="11"/>
  <c r="F34" i="10"/>
  <c r="I33" i="10"/>
  <c r="G24" i="2"/>
  <c r="C24" i="2" s="1"/>
  <c r="F35" i="10" l="1"/>
  <c r="I34" i="10"/>
  <c r="G200" i="10"/>
  <c r="G201" i="10" s="1"/>
  <c r="G202" i="10" s="1"/>
  <c r="G203" i="10" s="1"/>
  <c r="G204" i="10" s="1"/>
  <c r="G205" i="10" s="1"/>
  <c r="G206" i="10" s="1"/>
  <c r="G207" i="10" s="1"/>
  <c r="G208" i="10" s="1"/>
  <c r="G209" i="10" s="1"/>
  <c r="G210" i="10" s="1"/>
  <c r="G211" i="10" s="1"/>
  <c r="J22" i="11"/>
  <c r="G25" i="2"/>
  <c r="C25" i="2" s="1"/>
  <c r="G212" i="10" l="1"/>
  <c r="G213" i="10" s="1"/>
  <c r="G214" i="10" s="1"/>
  <c r="G215" i="10" s="1"/>
  <c r="G216" i="10" s="1"/>
  <c r="G217" i="10" s="1"/>
  <c r="G218" i="10" s="1"/>
  <c r="G219" i="10" s="1"/>
  <c r="G220" i="10" s="1"/>
  <c r="G221" i="10" s="1"/>
  <c r="G222" i="10" s="1"/>
  <c r="G223" i="10" s="1"/>
  <c r="J23" i="11"/>
  <c r="F36" i="10"/>
  <c r="I35" i="10"/>
  <c r="G26" i="2"/>
  <c r="C26" i="2" s="1"/>
  <c r="F37" i="10" l="1"/>
  <c r="I36" i="10"/>
  <c r="G224" i="10"/>
  <c r="G225" i="10" s="1"/>
  <c r="G226" i="10" s="1"/>
  <c r="G227" i="10" s="1"/>
  <c r="G228" i="10" s="1"/>
  <c r="G229" i="10" s="1"/>
  <c r="G230" i="10" s="1"/>
  <c r="G231" i="10" s="1"/>
  <c r="G232" i="10" s="1"/>
  <c r="G233" i="10" s="1"/>
  <c r="G234" i="10" s="1"/>
  <c r="G235" i="10" s="1"/>
  <c r="J24" i="11"/>
  <c r="G27" i="2"/>
  <c r="C27" i="2" s="1"/>
  <c r="G236" i="10" l="1"/>
  <c r="G237" i="10" s="1"/>
  <c r="G238" i="10" s="1"/>
  <c r="G239" i="10" s="1"/>
  <c r="G240" i="10" s="1"/>
  <c r="G241" i="10" s="1"/>
  <c r="G242" i="10" s="1"/>
  <c r="G243" i="10" s="1"/>
  <c r="G244" i="10" s="1"/>
  <c r="G245" i="10" s="1"/>
  <c r="G246" i="10" s="1"/>
  <c r="G247" i="10" s="1"/>
  <c r="J25" i="11"/>
  <c r="F38" i="10"/>
  <c r="I37" i="10"/>
  <c r="G28" i="2"/>
  <c r="C28" i="2" s="1"/>
  <c r="F39" i="10" l="1"/>
  <c r="I38" i="10"/>
  <c r="G248" i="10"/>
  <c r="G249" i="10" s="1"/>
  <c r="G250" i="10" s="1"/>
  <c r="G251" i="10" s="1"/>
  <c r="G252" i="10" s="1"/>
  <c r="G253" i="10" s="1"/>
  <c r="G254" i="10" s="1"/>
  <c r="G255" i="10" s="1"/>
  <c r="G256" i="10" s="1"/>
  <c r="G257" i="10" s="1"/>
  <c r="G258" i="10" s="1"/>
  <c r="G259" i="10" s="1"/>
  <c r="J26" i="11"/>
  <c r="G29" i="2"/>
  <c r="C29" i="2" s="1"/>
  <c r="G260" i="10" l="1"/>
  <c r="G261" i="10" s="1"/>
  <c r="G262" i="10" s="1"/>
  <c r="G263" i="10" s="1"/>
  <c r="G264" i="10" s="1"/>
  <c r="G265" i="10" s="1"/>
  <c r="G266" i="10" s="1"/>
  <c r="G267" i="10" s="1"/>
  <c r="G268" i="10" s="1"/>
  <c r="G269" i="10" s="1"/>
  <c r="G270" i="10" s="1"/>
  <c r="G271" i="10" s="1"/>
  <c r="J27" i="11"/>
  <c r="F40" i="10"/>
  <c r="I39" i="10"/>
  <c r="G30" i="2"/>
  <c r="C30" i="2" s="1"/>
  <c r="F41" i="10" l="1"/>
  <c r="I40" i="10"/>
  <c r="G272" i="10"/>
  <c r="G273" i="10" s="1"/>
  <c r="G274" i="10" s="1"/>
  <c r="G275" i="10" s="1"/>
  <c r="G276" i="10" s="1"/>
  <c r="G277" i="10" s="1"/>
  <c r="G278" i="10" s="1"/>
  <c r="G279" i="10" s="1"/>
  <c r="G280" i="10" s="1"/>
  <c r="G281" i="10" s="1"/>
  <c r="G282" i="10" s="1"/>
  <c r="G283" i="10" s="1"/>
  <c r="J28" i="11"/>
  <c r="G31" i="2"/>
  <c r="G284" i="10" l="1"/>
  <c r="G285" i="10" s="1"/>
  <c r="G286" i="10" s="1"/>
  <c r="G287" i="10" s="1"/>
  <c r="G288" i="10" s="1"/>
  <c r="G289" i="10" s="1"/>
  <c r="G290" i="10" s="1"/>
  <c r="G291" i="10" s="1"/>
  <c r="G292" i="10" s="1"/>
  <c r="G293" i="10" s="1"/>
  <c r="G294" i="10" s="1"/>
  <c r="G295" i="10" s="1"/>
  <c r="J29" i="11"/>
  <c r="F42" i="10"/>
  <c r="I41" i="10"/>
  <c r="C31" i="2"/>
  <c r="G32" i="2"/>
  <c r="C32" i="2" s="1"/>
  <c r="F43" i="10" l="1"/>
  <c r="I42" i="10"/>
  <c r="G296" i="10"/>
  <c r="G297" i="10" s="1"/>
  <c r="G298" i="10" s="1"/>
  <c r="G299" i="10" s="1"/>
  <c r="G300" i="10" s="1"/>
  <c r="G301" i="10" s="1"/>
  <c r="G302" i="10" s="1"/>
  <c r="G303" i="10" s="1"/>
  <c r="G304" i="10" s="1"/>
  <c r="G305" i="10" s="1"/>
  <c r="G306" i="10" s="1"/>
  <c r="G307" i="10" s="1"/>
  <c r="J30" i="11"/>
  <c r="G33" i="2"/>
  <c r="C33" i="2" s="1"/>
  <c r="G308" i="10" l="1"/>
  <c r="G309" i="10" s="1"/>
  <c r="G310" i="10" s="1"/>
  <c r="G311" i="10" s="1"/>
  <c r="G312" i="10" s="1"/>
  <c r="G313" i="10" s="1"/>
  <c r="G314" i="10" s="1"/>
  <c r="G315" i="10" s="1"/>
  <c r="G316" i="10" s="1"/>
  <c r="G317" i="10" s="1"/>
  <c r="G318" i="10" s="1"/>
  <c r="G319" i="10" s="1"/>
  <c r="J31" i="11"/>
  <c r="F44" i="10"/>
  <c r="I9" i="11"/>
  <c r="I43" i="10"/>
  <c r="G34" i="2"/>
  <c r="C34" i="2" s="1"/>
  <c r="F45" i="10" l="1"/>
  <c r="I44" i="10"/>
  <c r="L9" i="11"/>
  <c r="G320" i="10"/>
  <c r="G321" i="10" s="1"/>
  <c r="G322" i="10" s="1"/>
  <c r="G323" i="10" s="1"/>
  <c r="G324" i="10" s="1"/>
  <c r="G325" i="10" s="1"/>
  <c r="G326" i="10" s="1"/>
  <c r="G327" i="10" s="1"/>
  <c r="G328" i="10" s="1"/>
  <c r="G329" i="10" s="1"/>
  <c r="G330" i="10" s="1"/>
  <c r="G331" i="10" s="1"/>
  <c r="J32" i="11"/>
  <c r="G35" i="2"/>
  <c r="C35" i="2" s="1"/>
  <c r="G332" i="10" l="1"/>
  <c r="G333" i="10" s="1"/>
  <c r="G334" i="10" s="1"/>
  <c r="G335" i="10" s="1"/>
  <c r="G336" i="10" s="1"/>
  <c r="G337" i="10" s="1"/>
  <c r="G338" i="10" s="1"/>
  <c r="G339" i="10" s="1"/>
  <c r="G340" i="10" s="1"/>
  <c r="G341" i="10" s="1"/>
  <c r="G342" i="10" s="1"/>
  <c r="G343" i="10" s="1"/>
  <c r="J33" i="11"/>
  <c r="F46" i="10"/>
  <c r="I45" i="10"/>
  <c r="G36" i="2"/>
  <c r="C36" i="2" s="1"/>
  <c r="F47" i="10" l="1"/>
  <c r="I46" i="10"/>
  <c r="G344" i="10"/>
  <c r="G345" i="10" s="1"/>
  <c r="G346" i="10" s="1"/>
  <c r="G347" i="10" s="1"/>
  <c r="G348" i="10" s="1"/>
  <c r="G349" i="10" s="1"/>
  <c r="G350" i="10" s="1"/>
  <c r="G351" i="10" s="1"/>
  <c r="G352" i="10" s="1"/>
  <c r="G353" i="10" s="1"/>
  <c r="G354" i="10" s="1"/>
  <c r="G355" i="10" s="1"/>
  <c r="J34" i="11"/>
  <c r="G37" i="2"/>
  <c r="C37" i="2" s="1"/>
  <c r="G356" i="10" l="1"/>
  <c r="G357" i="10" s="1"/>
  <c r="G358" i="10" s="1"/>
  <c r="G359" i="10" s="1"/>
  <c r="G360" i="10" s="1"/>
  <c r="G361" i="10" s="1"/>
  <c r="G362" i="10" s="1"/>
  <c r="G363" i="10" s="1"/>
  <c r="G364" i="10" s="1"/>
  <c r="G365" i="10" s="1"/>
  <c r="G366" i="10" s="1"/>
  <c r="G367" i="10" s="1"/>
  <c r="J36" i="11" s="1"/>
  <c r="J35" i="11"/>
  <c r="F48" i="10"/>
  <c r="I47" i="10"/>
  <c r="G38" i="2"/>
  <c r="C38" i="2" s="1"/>
  <c r="F49" i="10" l="1"/>
  <c r="I48" i="10"/>
  <c r="G39" i="2"/>
  <c r="C39" i="2" s="1"/>
  <c r="F50" i="10" l="1"/>
  <c r="I49" i="10"/>
  <c r="G40" i="2"/>
  <c r="C40" i="2" s="1"/>
  <c r="F51" i="10" l="1"/>
  <c r="I50" i="10"/>
  <c r="G41" i="2"/>
  <c r="C41" i="2" s="1"/>
  <c r="F52" i="10" l="1"/>
  <c r="I51" i="10"/>
  <c r="G42" i="2"/>
  <c r="C42" i="2" s="1"/>
  <c r="F53" i="10" l="1"/>
  <c r="I52" i="10"/>
  <c r="G43" i="2"/>
  <c r="F54" i="10" l="1"/>
  <c r="I53" i="10"/>
  <c r="C43" i="2"/>
  <c r="F55" i="10" l="1"/>
  <c r="I54" i="10"/>
  <c r="B8" i="2"/>
  <c r="H6" i="2"/>
  <c r="C5" i="2" s="1"/>
  <c r="I6" i="2"/>
  <c r="F56" i="10" l="1"/>
  <c r="I10" i="11"/>
  <c r="I55" i="10"/>
  <c r="D5" i="2"/>
  <c r="E2" i="2" s="1"/>
  <c r="C8" i="2"/>
  <c r="B7" i="2"/>
  <c r="L10" i="11" l="1"/>
  <c r="F57" i="10"/>
  <c r="I56" i="10"/>
  <c r="D8" i="2"/>
  <c r="E8" i="2" s="1"/>
  <c r="C7" i="2"/>
  <c r="F58" i="10" l="1"/>
  <c r="I57" i="10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F59" i="10" l="1"/>
  <c r="I58" i="10"/>
  <c r="E9" i="2"/>
  <c r="B13" i="11" s="1"/>
  <c r="E10" i="2"/>
  <c r="F60" i="10" l="1"/>
  <c r="I59" i="10"/>
  <c r="E11" i="2"/>
  <c r="F61" i="10" l="1"/>
  <c r="I60" i="10"/>
  <c r="E12" i="2"/>
  <c r="F62" i="10" l="1"/>
  <c r="I61" i="10"/>
  <c r="E13" i="2"/>
  <c r="F63" i="10" l="1"/>
  <c r="I62" i="10"/>
  <c r="E14" i="2"/>
  <c r="F64" i="10" l="1"/>
  <c r="I63" i="10"/>
  <c r="E15" i="2"/>
  <c r="F65" i="10" l="1"/>
  <c r="I64" i="10"/>
  <c r="E16" i="2"/>
  <c r="F66" i="10" l="1"/>
  <c r="I65" i="10"/>
  <c r="E17" i="2"/>
  <c r="F67" i="10" l="1"/>
  <c r="I66" i="10"/>
  <c r="E18" i="2"/>
  <c r="F68" i="10" l="1"/>
  <c r="I11" i="11"/>
  <c r="I67" i="10"/>
  <c r="E19" i="2"/>
  <c r="L11" i="11" l="1"/>
  <c r="F69" i="10"/>
  <c r="I68" i="10"/>
  <c r="E20" i="2"/>
  <c r="F70" i="10" l="1"/>
  <c r="I69" i="10"/>
  <c r="E21" i="2"/>
  <c r="F71" i="10" l="1"/>
  <c r="I70" i="10"/>
  <c r="E22" i="2"/>
  <c r="F72" i="10" l="1"/>
  <c r="I71" i="10"/>
  <c r="E23" i="2"/>
  <c r="F73" i="10" l="1"/>
  <c r="I72" i="10"/>
  <c r="E24" i="2"/>
  <c r="F74" i="10" l="1"/>
  <c r="I73" i="10"/>
  <c r="E25" i="2"/>
  <c r="F75" i="10" l="1"/>
  <c r="I74" i="10"/>
  <c r="E26" i="2"/>
  <c r="F76" i="10" l="1"/>
  <c r="I75" i="10"/>
  <c r="E27" i="2"/>
  <c r="F77" i="10" l="1"/>
  <c r="I76" i="10"/>
  <c r="E28" i="2"/>
  <c r="F78" i="10" l="1"/>
  <c r="I77" i="10"/>
  <c r="E29" i="2"/>
  <c r="F79" i="10" l="1"/>
  <c r="I78" i="10"/>
  <c r="E30" i="2"/>
  <c r="F80" i="10" l="1"/>
  <c r="I12" i="11"/>
  <c r="I79" i="10"/>
  <c r="E31" i="2"/>
  <c r="L12" i="11" l="1"/>
  <c r="F81" i="10"/>
  <c r="I80" i="10"/>
  <c r="E32" i="2"/>
  <c r="F82" i="10" l="1"/>
  <c r="I81" i="10"/>
  <c r="E33" i="2"/>
  <c r="F83" i="10" l="1"/>
  <c r="I82" i="10"/>
  <c r="E34" i="2"/>
  <c r="F84" i="10" l="1"/>
  <c r="I83" i="10"/>
  <c r="E35" i="2"/>
  <c r="F85" i="10" l="1"/>
  <c r="I84" i="10"/>
  <c r="E36" i="2"/>
  <c r="F86" i="10" l="1"/>
  <c r="I85" i="10"/>
  <c r="E37" i="2"/>
  <c r="F87" i="10" l="1"/>
  <c r="I86" i="10"/>
  <c r="E38" i="2"/>
  <c r="F88" i="10" l="1"/>
  <c r="I87" i="10"/>
  <c r="E39" i="2"/>
  <c r="F89" i="10" l="1"/>
  <c r="I88" i="10"/>
  <c r="E40" i="2"/>
  <c r="F90" i="10" l="1"/>
  <c r="I89" i="10"/>
  <c r="E41" i="2"/>
  <c r="F91" i="10" l="1"/>
  <c r="I90" i="10"/>
  <c r="E42" i="2"/>
  <c r="E43" i="2"/>
  <c r="C3" i="2" s="1"/>
  <c r="F92" i="10" l="1"/>
  <c r="I13" i="11"/>
  <c r="I91" i="10"/>
  <c r="F1" i="8"/>
  <c r="C3" i="10"/>
  <c r="L13" i="11" l="1"/>
  <c r="F93" i="10"/>
  <c r="I92" i="10"/>
  <c r="M7" i="8"/>
  <c r="O7" i="8" s="1"/>
  <c r="N8" i="8" s="1"/>
  <c r="F2" i="8"/>
  <c r="N7" i="8"/>
  <c r="C252" i="8"/>
  <c r="C341" i="8"/>
  <c r="C334" i="8"/>
  <c r="C221" i="8"/>
  <c r="C236" i="8"/>
  <c r="C224" i="8"/>
  <c r="C271" i="8"/>
  <c r="C266" i="8"/>
  <c r="C273" i="8"/>
  <c r="C331" i="8"/>
  <c r="C338" i="8"/>
  <c r="C270" i="8"/>
  <c r="C274" i="8"/>
  <c r="C227" i="8"/>
  <c r="C283" i="8"/>
  <c r="C327" i="8"/>
  <c r="C314" i="8"/>
  <c r="C193" i="8"/>
  <c r="C231" i="8"/>
  <c r="C197" i="8"/>
  <c r="C237" i="8"/>
  <c r="C291" i="8"/>
  <c r="C284" i="8"/>
  <c r="C293" i="8"/>
  <c r="C301" i="8"/>
  <c r="C348" i="8"/>
  <c r="C317" i="8"/>
  <c r="C337" i="8"/>
  <c r="C268" i="8"/>
  <c r="C282" i="8"/>
  <c r="C188" i="8"/>
  <c r="C196" i="8"/>
  <c r="C235" i="8"/>
  <c r="C199" i="8"/>
  <c r="C241" i="8"/>
  <c r="C295" i="8"/>
  <c r="C288" i="8"/>
  <c r="C297" i="8"/>
  <c r="C302" i="8"/>
  <c r="C350" i="8"/>
  <c r="C321" i="8"/>
  <c r="C198" i="8"/>
  <c r="C222" i="8"/>
  <c r="C267" i="8"/>
  <c r="C360" i="8"/>
  <c r="C86" i="8"/>
  <c r="C182" i="8"/>
  <c r="C38" i="8"/>
  <c r="C46" i="8"/>
  <c r="C169" i="8"/>
  <c r="C105" i="8"/>
  <c r="C41" i="8"/>
  <c r="C164" i="8"/>
  <c r="C100" i="8"/>
  <c r="C36" i="8"/>
  <c r="C151" i="8"/>
  <c r="C87" i="8"/>
  <c r="C23" i="8"/>
  <c r="C162" i="8"/>
  <c r="C93" i="8"/>
  <c r="C152" i="8"/>
  <c r="C24" i="8"/>
  <c r="C75" i="8"/>
  <c r="C82" i="8"/>
  <c r="C62" i="8"/>
  <c r="C149" i="8"/>
  <c r="C85" i="8"/>
  <c r="C21" i="8"/>
  <c r="C128" i="8"/>
  <c r="C64" i="8"/>
  <c r="C179" i="8"/>
  <c r="C115" i="8"/>
  <c r="C51" i="8"/>
  <c r="C114" i="8"/>
  <c r="C94" i="8"/>
  <c r="C14" i="8"/>
  <c r="C161" i="8"/>
  <c r="C97" i="8"/>
  <c r="C33" i="8"/>
  <c r="C140" i="8"/>
  <c r="C76" i="8"/>
  <c r="C12" i="8"/>
  <c r="C127" i="8"/>
  <c r="C326" i="8"/>
  <c r="C187" i="8"/>
  <c r="C191" i="8"/>
  <c r="C229" i="8"/>
  <c r="C195" i="8"/>
  <c r="C233" i="8"/>
  <c r="C287" i="8"/>
  <c r="C280" i="8"/>
  <c r="C289" i="8"/>
  <c r="C298" i="8"/>
  <c r="C346" i="8"/>
  <c r="C313" i="8"/>
  <c r="C306" i="8"/>
  <c r="C232" i="8"/>
  <c r="C262" i="8"/>
  <c r="C320" i="8"/>
  <c r="C343" i="8"/>
  <c r="C204" i="8"/>
  <c r="C247" i="8"/>
  <c r="C210" i="8"/>
  <c r="C203" i="8"/>
  <c r="C192" i="8"/>
  <c r="C300" i="8"/>
  <c r="C294" i="8"/>
  <c r="C312" i="8"/>
  <c r="C356" i="8"/>
  <c r="C333" i="8"/>
  <c r="C239" i="8"/>
  <c r="C238" i="8"/>
  <c r="C344" i="8"/>
  <c r="C322" i="8"/>
  <c r="C208" i="8"/>
  <c r="C190" i="8"/>
  <c r="C212" i="8"/>
  <c r="C234" i="8"/>
  <c r="C207" i="8"/>
  <c r="C242" i="8"/>
  <c r="C307" i="8"/>
  <c r="C316" i="8"/>
  <c r="C358" i="8"/>
  <c r="C363" i="8"/>
  <c r="C219" i="8"/>
  <c r="C253" i="8"/>
  <c r="C311" i="8"/>
  <c r="C325" i="8"/>
  <c r="C54" i="8"/>
  <c r="C150" i="8"/>
  <c r="C26" i="8"/>
  <c r="C110" i="8"/>
  <c r="C153" i="8"/>
  <c r="C89" i="8"/>
  <c r="C25" i="8"/>
  <c r="C148" i="8"/>
  <c r="C84" i="8"/>
  <c r="C20" i="8"/>
  <c r="C135" i="8"/>
  <c r="C71" i="8"/>
  <c r="C7" i="8"/>
  <c r="C173" i="8"/>
  <c r="C61" i="8"/>
  <c r="C120" i="8"/>
  <c r="C155" i="8"/>
  <c r="C43" i="8"/>
  <c r="C42" i="8"/>
  <c r="C126" i="8"/>
  <c r="C133" i="8"/>
  <c r="C69" i="8"/>
  <c r="C176" i="8"/>
  <c r="C112" i="8"/>
  <c r="C48" i="8"/>
  <c r="C163" i="8"/>
  <c r="C99" i="8"/>
  <c r="C35" i="8"/>
  <c r="C178" i="8"/>
  <c r="C58" i="8"/>
  <c r="C78" i="8"/>
  <c r="C145" i="8"/>
  <c r="C81" i="8"/>
  <c r="C17" i="8"/>
  <c r="C124" i="8"/>
  <c r="C60" i="8"/>
  <c r="C175" i="8"/>
  <c r="C111" i="8"/>
  <c r="C310" i="8"/>
  <c r="C365" i="8"/>
  <c r="C351" i="8"/>
  <c r="C200" i="8"/>
  <c r="C243" i="8"/>
  <c r="C206" i="8"/>
  <c r="C249" i="8"/>
  <c r="C303" i="8"/>
  <c r="C296" i="8"/>
  <c r="C278" i="8"/>
  <c r="C308" i="8"/>
  <c r="C354" i="8"/>
  <c r="C329" i="8"/>
  <c r="C189" i="8"/>
  <c r="C214" i="8"/>
  <c r="C292" i="8"/>
  <c r="C352" i="8"/>
  <c r="C353" i="8"/>
  <c r="C215" i="8"/>
  <c r="C205" i="8"/>
  <c r="C218" i="8"/>
  <c r="C261" i="8"/>
  <c r="C254" i="8"/>
  <c r="C259" i="8"/>
  <c r="C319" i="8"/>
  <c r="C328" i="8"/>
  <c r="C364" i="8"/>
  <c r="C339" i="8"/>
  <c r="C248" i="8"/>
  <c r="C251" i="8"/>
  <c r="C264" i="8"/>
  <c r="C345" i="8"/>
  <c r="C217" i="8"/>
  <c r="C209" i="8"/>
  <c r="C220" i="8"/>
  <c r="C265" i="8"/>
  <c r="C258" i="8"/>
  <c r="C263" i="8"/>
  <c r="C323" i="8"/>
  <c r="C332" i="8"/>
  <c r="C366" i="8"/>
  <c r="C330" i="8"/>
  <c r="C194" i="8"/>
  <c r="C299" i="8"/>
  <c r="C304" i="8"/>
  <c r="C166" i="8"/>
  <c r="C22" i="8"/>
  <c r="C118" i="8"/>
  <c r="C90" i="8"/>
  <c r="C174" i="8"/>
  <c r="C137" i="8"/>
  <c r="C73" i="8"/>
  <c r="C9" i="8"/>
  <c r="C132" i="8"/>
  <c r="C68" i="8"/>
  <c r="C183" i="8"/>
  <c r="C119" i="8"/>
  <c r="C55" i="8"/>
  <c r="C34" i="8"/>
  <c r="C141" i="8"/>
  <c r="C29" i="8"/>
  <c r="C88" i="8"/>
  <c r="C123" i="8"/>
  <c r="C11" i="8"/>
  <c r="C106" i="8"/>
  <c r="C181" i="8"/>
  <c r="C117" i="8"/>
  <c r="C53" i="8"/>
  <c r="C160" i="8"/>
  <c r="C96" i="8"/>
  <c r="C32" i="8"/>
  <c r="C147" i="8"/>
  <c r="C83" i="8"/>
  <c r="C19" i="8"/>
  <c r="C10" i="8"/>
  <c r="C122" i="8"/>
  <c r="C142" i="8"/>
  <c r="C129" i="8"/>
  <c r="C65" i="8"/>
  <c r="C172" i="8"/>
  <c r="C108" i="8"/>
  <c r="C44" i="8"/>
  <c r="C159" i="8"/>
  <c r="C95" i="8"/>
  <c r="C31" i="8"/>
  <c r="C357" i="8"/>
  <c r="C201" i="8"/>
  <c r="C255" i="8"/>
  <c r="C347" i="8"/>
  <c r="C309" i="8"/>
  <c r="C226" i="8"/>
  <c r="C335" i="8"/>
  <c r="C230" i="8"/>
  <c r="C225" i="8"/>
  <c r="C272" i="8"/>
  <c r="C305" i="8"/>
  <c r="C336" i="8"/>
  <c r="C154" i="8"/>
  <c r="C180" i="8"/>
  <c r="C103" i="8"/>
  <c r="C184" i="8"/>
  <c r="C170" i="8"/>
  <c r="C144" i="8"/>
  <c r="C67" i="8"/>
  <c r="C177" i="8"/>
  <c r="C92" i="8"/>
  <c r="C63" i="8"/>
  <c r="C130" i="8"/>
  <c r="C157" i="8"/>
  <c r="C13" i="8"/>
  <c r="C72" i="8"/>
  <c r="C139" i="8"/>
  <c r="C146" i="8"/>
  <c r="C349" i="8"/>
  <c r="C315" i="8"/>
  <c r="C318" i="8"/>
  <c r="C340" i="8"/>
  <c r="C244" i="8"/>
  <c r="C359" i="8"/>
  <c r="C185" i="8"/>
  <c r="C116" i="8"/>
  <c r="C56" i="8"/>
  <c r="C80" i="8"/>
  <c r="C28" i="8"/>
  <c r="C74" i="8"/>
  <c r="C168" i="8"/>
  <c r="C91" i="8"/>
  <c r="C121" i="8"/>
  <c r="C101" i="8"/>
  <c r="C49" i="8"/>
  <c r="C15" i="8"/>
  <c r="C136" i="8"/>
  <c r="C250" i="8"/>
  <c r="C362" i="8"/>
  <c r="C246" i="8"/>
  <c r="C279" i="8"/>
  <c r="C276" i="8"/>
  <c r="C167" i="8"/>
  <c r="C37" i="8"/>
  <c r="C156" i="8"/>
  <c r="C158" i="8"/>
  <c r="C27" i="8"/>
  <c r="C216" i="8"/>
  <c r="C211" i="8"/>
  <c r="C275" i="8"/>
  <c r="C256" i="8"/>
  <c r="C281" i="8"/>
  <c r="C134" i="8"/>
  <c r="C39" i="8"/>
  <c r="C165" i="8"/>
  <c r="C50" i="8"/>
  <c r="C113" i="8"/>
  <c r="C47" i="8"/>
  <c r="C109" i="8"/>
  <c r="C40" i="8"/>
  <c r="C52" i="8"/>
  <c r="C107" i="8"/>
  <c r="C16" i="8"/>
  <c r="C143" i="8"/>
  <c r="C77" i="8"/>
  <c r="C59" i="8"/>
  <c r="C213" i="8"/>
  <c r="C285" i="8"/>
  <c r="C240" i="8"/>
  <c r="C290" i="8"/>
  <c r="C342" i="8"/>
  <c r="C70" i="8"/>
  <c r="C125" i="8"/>
  <c r="C131" i="8"/>
  <c r="C79" i="8"/>
  <c r="C45" i="8"/>
  <c r="C104" i="8"/>
  <c r="C361" i="8"/>
  <c r="C257" i="8"/>
  <c r="C324" i="8"/>
  <c r="C245" i="8"/>
  <c r="C223" i="8"/>
  <c r="C269" i="8"/>
  <c r="C286" i="8"/>
  <c r="C355" i="8"/>
  <c r="C228" i="8"/>
  <c r="C260" i="8"/>
  <c r="C202" i="8"/>
  <c r="C102" i="8"/>
  <c r="C98" i="8"/>
  <c r="C138" i="8"/>
  <c r="C30" i="8"/>
  <c r="C8" i="8"/>
  <c r="C277" i="8"/>
  <c r="C57" i="8"/>
  <c r="C18" i="8"/>
  <c r="C186" i="8"/>
  <c r="C66" i="8"/>
  <c r="C171" i="8"/>
  <c r="F94" i="10" l="1"/>
  <c r="I93" i="10"/>
  <c r="C367" i="8"/>
  <c r="H356" i="8"/>
  <c r="H340" i="8"/>
  <c r="H324" i="8"/>
  <c r="H308" i="8"/>
  <c r="H292" i="8"/>
  <c r="H276" i="8"/>
  <c r="H260" i="8"/>
  <c r="H244" i="8"/>
  <c r="H228" i="8"/>
  <c r="H212" i="8"/>
  <c r="H196" i="8"/>
  <c r="H180" i="8"/>
  <c r="H164" i="8"/>
  <c r="H148" i="8"/>
  <c r="H132" i="8"/>
  <c r="H116" i="8"/>
  <c r="H100" i="8"/>
  <c r="H84" i="8"/>
  <c r="H68" i="8"/>
  <c r="H52" i="8"/>
  <c r="H36" i="8"/>
  <c r="H351" i="8"/>
  <c r="H335" i="8"/>
  <c r="H319" i="8"/>
  <c r="H303" i="8"/>
  <c r="H287" i="8"/>
  <c r="H271" i="8"/>
  <c r="H255" i="8"/>
  <c r="H239" i="8"/>
  <c r="H223" i="8"/>
  <c r="H207" i="8"/>
  <c r="H191" i="8"/>
  <c r="H175" i="8"/>
  <c r="H159" i="8"/>
  <c r="H143" i="8"/>
  <c r="H127" i="8"/>
  <c r="H111" i="8"/>
  <c r="H95" i="8"/>
  <c r="H79" i="8"/>
  <c r="H63" i="8"/>
  <c r="H47" i="8"/>
  <c r="H366" i="8"/>
  <c r="F36" i="11" s="1"/>
  <c r="H350" i="8"/>
  <c r="H334" i="8"/>
  <c r="H318" i="8"/>
  <c r="F32" i="11" s="1"/>
  <c r="H302" i="8"/>
  <c r="H286" i="8"/>
  <c r="H270" i="8"/>
  <c r="F28" i="11" s="1"/>
  <c r="H254" i="8"/>
  <c r="H238" i="8"/>
  <c r="H222" i="8"/>
  <c r="F24" i="11" s="1"/>
  <c r="H206" i="8"/>
  <c r="H190" i="8"/>
  <c r="H174" i="8"/>
  <c r="F20" i="11" s="1"/>
  <c r="H158" i="8"/>
  <c r="H142" i="8"/>
  <c r="H126" i="8"/>
  <c r="H110" i="8"/>
  <c r="H94" i="8"/>
  <c r="H78" i="8"/>
  <c r="H62" i="8"/>
  <c r="H46" i="8"/>
  <c r="H357" i="8"/>
  <c r="H293" i="8"/>
  <c r="H229" i="8"/>
  <c r="H165" i="8"/>
  <c r="H101" i="8"/>
  <c r="H37" i="8"/>
  <c r="H18" i="8"/>
  <c r="H265" i="8"/>
  <c r="H137" i="8"/>
  <c r="H19" i="8"/>
  <c r="H321" i="8"/>
  <c r="H257" i="8"/>
  <c r="H193" i="8"/>
  <c r="H129" i="8"/>
  <c r="H65" i="8"/>
  <c r="H25" i="8"/>
  <c r="H9" i="8"/>
  <c r="H365" i="8"/>
  <c r="H301" i="8"/>
  <c r="H237" i="8"/>
  <c r="H173" i="8"/>
  <c r="H109" i="8"/>
  <c r="H352" i="8"/>
  <c r="H336" i="8"/>
  <c r="H320" i="8"/>
  <c r="H304" i="8"/>
  <c r="H288" i="8"/>
  <c r="H272" i="8"/>
  <c r="H256" i="8"/>
  <c r="H240" i="8"/>
  <c r="H224" i="8"/>
  <c r="H208" i="8"/>
  <c r="H192" i="8"/>
  <c r="H176" i="8"/>
  <c r="H160" i="8"/>
  <c r="H144" i="8"/>
  <c r="H128" i="8"/>
  <c r="H112" i="8"/>
  <c r="H96" i="8"/>
  <c r="H80" i="8"/>
  <c r="H64" i="8"/>
  <c r="H48" i="8"/>
  <c r="H363" i="8"/>
  <c r="H347" i="8"/>
  <c r="H331" i="8"/>
  <c r="H315" i="8"/>
  <c r="H299" i="8"/>
  <c r="H283" i="8"/>
  <c r="H267" i="8"/>
  <c r="H251" i="8"/>
  <c r="H235" i="8"/>
  <c r="H219" i="8"/>
  <c r="H203" i="8"/>
  <c r="H187" i="8"/>
  <c r="H171" i="8"/>
  <c r="H155" i="8"/>
  <c r="H139" i="8"/>
  <c r="H123" i="8"/>
  <c r="H107" i="8"/>
  <c r="H91" i="8"/>
  <c r="H75" i="8"/>
  <c r="H59" i="8"/>
  <c r="H43" i="8"/>
  <c r="H362" i="8"/>
  <c r="H346" i="8"/>
  <c r="H330" i="8"/>
  <c r="F33" i="11" s="1"/>
  <c r="H314" i="8"/>
  <c r="H298" i="8"/>
  <c r="H282" i="8"/>
  <c r="F29" i="11" s="1"/>
  <c r="H266" i="8"/>
  <c r="H250" i="8"/>
  <c r="H234" i="8"/>
  <c r="F25" i="11" s="1"/>
  <c r="H218" i="8"/>
  <c r="H202" i="8"/>
  <c r="H186" i="8"/>
  <c r="F21" i="11" s="1"/>
  <c r="H170" i="8"/>
  <c r="H154" i="8"/>
  <c r="H138" i="8"/>
  <c r="F17" i="11" s="1"/>
  <c r="H122" i="8"/>
  <c r="H106" i="8"/>
  <c r="H90" i="8"/>
  <c r="H74" i="8"/>
  <c r="H58" i="8"/>
  <c r="H42" i="8"/>
  <c r="H341" i="8"/>
  <c r="H277" i="8"/>
  <c r="H213" i="8"/>
  <c r="H149" i="8"/>
  <c r="H85" i="8"/>
  <c r="H30" i="8"/>
  <c r="H14" i="8"/>
  <c r="H233" i="8"/>
  <c r="H105" i="8"/>
  <c r="H7" i="8"/>
  <c r="J7" i="8" s="1"/>
  <c r="H305" i="8"/>
  <c r="H241" i="8"/>
  <c r="H177" i="8"/>
  <c r="H113" i="8"/>
  <c r="H49" i="8"/>
  <c r="H21" i="8"/>
  <c r="H329" i="8"/>
  <c r="H349" i="8"/>
  <c r="H285" i="8"/>
  <c r="H221" i="8"/>
  <c r="H157" i="8"/>
  <c r="H93" i="8"/>
  <c r="H32" i="8"/>
  <c r="H344" i="8"/>
  <c r="H312" i="8"/>
  <c r="H280" i="8"/>
  <c r="H248" i="8"/>
  <c r="H216" i="8"/>
  <c r="H184" i="8"/>
  <c r="H152" i="8"/>
  <c r="H120" i="8"/>
  <c r="H88" i="8"/>
  <c r="H56" i="8"/>
  <c r="H355" i="8"/>
  <c r="H323" i="8"/>
  <c r="H291" i="8"/>
  <c r="H259" i="8"/>
  <c r="H227" i="8"/>
  <c r="H195" i="8"/>
  <c r="H163" i="8"/>
  <c r="H131" i="8"/>
  <c r="H99" i="8"/>
  <c r="H67" i="8"/>
  <c r="H35" i="8"/>
  <c r="H338" i="8"/>
  <c r="H306" i="8"/>
  <c r="F31" i="11" s="1"/>
  <c r="H274" i="8"/>
  <c r="H242" i="8"/>
  <c r="H210" i="8"/>
  <c r="F23" i="11" s="1"/>
  <c r="H178" i="8"/>
  <c r="H146" i="8"/>
  <c r="H114" i="8"/>
  <c r="H82" i="8"/>
  <c r="H50" i="8"/>
  <c r="H309" i="8"/>
  <c r="H181" i="8"/>
  <c r="H53" i="8"/>
  <c r="H345" i="8"/>
  <c r="H27" i="8"/>
  <c r="H273" i="8"/>
  <c r="H145" i="8"/>
  <c r="H29" i="8"/>
  <c r="H15" i="8"/>
  <c r="H253" i="8"/>
  <c r="H125" i="8"/>
  <c r="H28" i="8"/>
  <c r="H12" i="8"/>
  <c r="H297" i="8"/>
  <c r="H185" i="8"/>
  <c r="H57" i="8"/>
  <c r="H360" i="8"/>
  <c r="H264" i="8"/>
  <c r="H200" i="8"/>
  <c r="H136" i="8"/>
  <c r="H72" i="8"/>
  <c r="H40" i="8"/>
  <c r="H307" i="8"/>
  <c r="H243" i="8"/>
  <c r="H211" i="8"/>
  <c r="H115" i="8"/>
  <c r="H51" i="8"/>
  <c r="H290" i="8"/>
  <c r="H226" i="8"/>
  <c r="H162" i="8"/>
  <c r="F19" i="11" s="1"/>
  <c r="H98" i="8"/>
  <c r="H245" i="8"/>
  <c r="H22" i="8"/>
  <c r="H337" i="8"/>
  <c r="H81" i="8"/>
  <c r="H317" i="8"/>
  <c r="H61" i="8"/>
  <c r="H361" i="8"/>
  <c r="H121" i="8"/>
  <c r="H316" i="8"/>
  <c r="H284" i="8"/>
  <c r="H188" i="8"/>
  <c r="H124" i="8"/>
  <c r="H60" i="8"/>
  <c r="H327" i="8"/>
  <c r="H263" i="8"/>
  <c r="H199" i="8"/>
  <c r="H135" i="8"/>
  <c r="H71" i="8"/>
  <c r="H39" i="8"/>
  <c r="H342" i="8"/>
  <c r="F34" i="11" s="1"/>
  <c r="H278" i="8"/>
  <c r="H182" i="8"/>
  <c r="H118" i="8"/>
  <c r="H86" i="8"/>
  <c r="H325" i="8"/>
  <c r="H69" i="8"/>
  <c r="H10" i="8"/>
  <c r="C11" i="10" s="1"/>
  <c r="H289" i="8"/>
  <c r="H41" i="8"/>
  <c r="H141" i="8"/>
  <c r="H313" i="8"/>
  <c r="H89" i="8"/>
  <c r="H364" i="8"/>
  <c r="H332" i="8"/>
  <c r="H300" i="8"/>
  <c r="H268" i="8"/>
  <c r="H236" i="8"/>
  <c r="H204" i="8"/>
  <c r="H172" i="8"/>
  <c r="H140" i="8"/>
  <c r="H108" i="8"/>
  <c r="H76" i="8"/>
  <c r="H44" i="8"/>
  <c r="H343" i="8"/>
  <c r="H311" i="8"/>
  <c r="H279" i="8"/>
  <c r="H247" i="8"/>
  <c r="H215" i="8"/>
  <c r="H183" i="8"/>
  <c r="H151" i="8"/>
  <c r="H119" i="8"/>
  <c r="H87" i="8"/>
  <c r="H55" i="8"/>
  <c r="H358" i="8"/>
  <c r="H326" i="8"/>
  <c r="H294" i="8"/>
  <c r="F30" i="11" s="1"/>
  <c r="H262" i="8"/>
  <c r="H230" i="8"/>
  <c r="H198" i="8"/>
  <c r="F22" i="11" s="1"/>
  <c r="H166" i="8"/>
  <c r="H134" i="8"/>
  <c r="H102" i="8"/>
  <c r="H70" i="8"/>
  <c r="H38" i="8"/>
  <c r="H261" i="8"/>
  <c r="H133" i="8"/>
  <c r="H26" i="8"/>
  <c r="H201" i="8"/>
  <c r="H353" i="8"/>
  <c r="H225" i="8"/>
  <c r="H97" i="8"/>
  <c r="H17" i="8"/>
  <c r="H333" i="8"/>
  <c r="H205" i="8"/>
  <c r="H77" i="8"/>
  <c r="H24" i="8"/>
  <c r="H8" i="8"/>
  <c r="H281" i="8"/>
  <c r="H153" i="8"/>
  <c r="H31" i="8"/>
  <c r="H328" i="8"/>
  <c r="H296" i="8"/>
  <c r="H232" i="8"/>
  <c r="H168" i="8"/>
  <c r="H104" i="8"/>
  <c r="H339" i="8"/>
  <c r="H275" i="8"/>
  <c r="H179" i="8"/>
  <c r="H147" i="8"/>
  <c r="H83" i="8"/>
  <c r="H354" i="8"/>
  <c r="F35" i="11" s="1"/>
  <c r="H322" i="8"/>
  <c r="H258" i="8"/>
  <c r="F27" i="11" s="1"/>
  <c r="H194" i="8"/>
  <c r="H130" i="8"/>
  <c r="H66" i="8"/>
  <c r="H34" i="8"/>
  <c r="H117" i="8"/>
  <c r="H169" i="8"/>
  <c r="H209" i="8"/>
  <c r="H13" i="8"/>
  <c r="H189" i="8"/>
  <c r="H20" i="8"/>
  <c r="H249" i="8"/>
  <c r="H23" i="8"/>
  <c r="H348" i="8"/>
  <c r="H252" i="8"/>
  <c r="H220" i="8"/>
  <c r="H156" i="8"/>
  <c r="H92" i="8"/>
  <c r="H359" i="8"/>
  <c r="H295" i="8"/>
  <c r="H231" i="8"/>
  <c r="H167" i="8"/>
  <c r="H103" i="8"/>
  <c r="H310" i="8"/>
  <c r="H246" i="8"/>
  <c r="F26" i="11" s="1"/>
  <c r="H214" i="8"/>
  <c r="H150" i="8"/>
  <c r="F18" i="11" s="1"/>
  <c r="H54" i="8"/>
  <c r="H197" i="8"/>
  <c r="H73" i="8"/>
  <c r="H161" i="8"/>
  <c r="H33" i="8"/>
  <c r="H269" i="8"/>
  <c r="H45" i="8"/>
  <c r="H16" i="8"/>
  <c r="H217" i="8"/>
  <c r="H11" i="8"/>
  <c r="I7" i="8"/>
  <c r="F6" i="11" l="1"/>
  <c r="F95" i="10"/>
  <c r="I94" i="10"/>
  <c r="G7" i="8"/>
  <c r="J8" i="8"/>
  <c r="I8" i="8"/>
  <c r="G8" i="8" s="1"/>
  <c r="H367" i="8"/>
  <c r="F96" i="10" l="1"/>
  <c r="I95" i="10"/>
  <c r="I9" i="8"/>
  <c r="G9" i="8" s="1"/>
  <c r="J9" i="8"/>
  <c r="F97" i="10" l="1"/>
  <c r="I96" i="10"/>
  <c r="I10" i="8"/>
  <c r="G10" i="8" s="1"/>
  <c r="J10" i="8"/>
  <c r="F98" i="10" l="1"/>
  <c r="I97" i="10"/>
  <c r="J11" i="8"/>
  <c r="I11" i="8"/>
  <c r="G11" i="8" s="1"/>
  <c r="F99" i="10" l="1"/>
  <c r="I98" i="10"/>
  <c r="I12" i="8"/>
  <c r="G12" i="8" s="1"/>
  <c r="J12" i="8"/>
  <c r="F100" i="10" l="1"/>
  <c r="I99" i="10"/>
  <c r="J13" i="8"/>
  <c r="I13" i="8"/>
  <c r="G13" i="8" s="1"/>
  <c r="F101" i="10" l="1"/>
  <c r="I100" i="10"/>
  <c r="I14" i="8"/>
  <c r="G14" i="8" s="1"/>
  <c r="J14" i="8"/>
  <c r="F102" i="10" l="1"/>
  <c r="I101" i="10"/>
  <c r="J15" i="8"/>
  <c r="I15" i="8"/>
  <c r="G15" i="8" s="1"/>
  <c r="F103" i="10" l="1"/>
  <c r="I102" i="10"/>
  <c r="J16" i="8"/>
  <c r="I16" i="8"/>
  <c r="G16" i="8" s="1"/>
  <c r="F104" i="10" l="1"/>
  <c r="I14" i="11"/>
  <c r="I103" i="10"/>
  <c r="I17" i="8"/>
  <c r="G17" i="8" s="1"/>
  <c r="J17" i="8"/>
  <c r="L14" i="11" l="1"/>
  <c r="F105" i="10"/>
  <c r="I104" i="10"/>
  <c r="J18" i="8"/>
  <c r="I18" i="8"/>
  <c r="G18" i="8" s="1"/>
  <c r="F106" i="10" l="1"/>
  <c r="I105" i="10"/>
  <c r="J19" i="8"/>
  <c r="I19" i="8"/>
  <c r="G19" i="8" s="1"/>
  <c r="F107" i="10" l="1"/>
  <c r="I106" i="10"/>
  <c r="J20" i="8"/>
  <c r="I20" i="8"/>
  <c r="G20" i="8" s="1"/>
  <c r="D7" i="8"/>
  <c r="G6" i="11" s="1"/>
  <c r="F108" i="10" l="1"/>
  <c r="I107" i="10"/>
  <c r="J21" i="8"/>
  <c r="I21" i="8"/>
  <c r="G21" i="8" s="1"/>
  <c r="C8" i="10"/>
  <c r="D8" i="10"/>
  <c r="L7" i="8"/>
  <c r="L8" i="8" s="1"/>
  <c r="L9" i="8" s="1"/>
  <c r="B7" i="8"/>
  <c r="E6" i="11" s="1"/>
  <c r="E7" i="8"/>
  <c r="H6" i="11" s="1"/>
  <c r="F109" i="10" l="1"/>
  <c r="I108" i="10"/>
  <c r="J22" i="8"/>
  <c r="I22" i="8"/>
  <c r="G22" i="8" s="1"/>
  <c r="L10" i="8"/>
  <c r="L11" i="8" s="1"/>
  <c r="L12" i="8" s="1"/>
  <c r="L13" i="8" s="1"/>
  <c r="L14" i="8" s="1"/>
  <c r="L15" i="8" s="1"/>
  <c r="L16" i="8" s="1"/>
  <c r="L17" i="8" s="1"/>
  <c r="L18" i="8" s="1"/>
  <c r="E8" i="10"/>
  <c r="B8" i="10"/>
  <c r="E8" i="8"/>
  <c r="D8" i="8"/>
  <c r="O8" i="10" l="1"/>
  <c r="Q8" i="10"/>
  <c r="F110" i="10"/>
  <c r="I109" i="10"/>
  <c r="J23" i="8"/>
  <c r="I23" i="8"/>
  <c r="G23" i="8" s="1"/>
  <c r="B8" i="8"/>
  <c r="D9" i="10"/>
  <c r="E9" i="8"/>
  <c r="D9" i="8"/>
  <c r="M6" i="11" l="1"/>
  <c r="F111" i="10"/>
  <c r="I110" i="10"/>
  <c r="I24" i="8"/>
  <c r="G24" i="8" s="1"/>
  <c r="J24" i="8"/>
  <c r="B9" i="10"/>
  <c r="O9" i="10" s="1"/>
  <c r="B9" i="8"/>
  <c r="D10" i="8"/>
  <c r="E10" i="8"/>
  <c r="Q9" i="10" l="1"/>
  <c r="F112" i="10"/>
  <c r="I111" i="10"/>
  <c r="I25" i="8"/>
  <c r="G25" i="8" s="1"/>
  <c r="J25" i="8"/>
  <c r="B10" i="10"/>
  <c r="O10" i="10" s="1"/>
  <c r="B10" i="8"/>
  <c r="E11" i="8"/>
  <c r="D11" i="8"/>
  <c r="Q10" i="10" l="1"/>
  <c r="F113" i="10"/>
  <c r="I112" i="10"/>
  <c r="J26" i="8"/>
  <c r="I26" i="8"/>
  <c r="G26" i="8" s="1"/>
  <c r="B11" i="10"/>
  <c r="O11" i="10" s="1"/>
  <c r="B11" i="8"/>
  <c r="D12" i="8"/>
  <c r="E12" i="8"/>
  <c r="Q11" i="10" l="1"/>
  <c r="F114" i="10"/>
  <c r="I113" i="10"/>
  <c r="I27" i="8"/>
  <c r="G27" i="8" s="1"/>
  <c r="J27" i="8"/>
  <c r="B12" i="10"/>
  <c r="O12" i="10" s="1"/>
  <c r="B12" i="8"/>
  <c r="E13" i="8"/>
  <c r="D13" i="8"/>
  <c r="Q12" i="10" l="1"/>
  <c r="F115" i="10"/>
  <c r="I114" i="10"/>
  <c r="J28" i="8"/>
  <c r="I28" i="8"/>
  <c r="G28" i="8" s="1"/>
  <c r="B13" i="10"/>
  <c r="O13" i="10" s="1"/>
  <c r="B13" i="8"/>
  <c r="D14" i="8"/>
  <c r="E14" i="8"/>
  <c r="Q13" i="10" l="1"/>
  <c r="F116" i="10"/>
  <c r="I15" i="11"/>
  <c r="I115" i="10"/>
  <c r="I29" i="8"/>
  <c r="G29" i="8" s="1"/>
  <c r="J29" i="8"/>
  <c r="B14" i="10"/>
  <c r="O14" i="10" s="1"/>
  <c r="B14" i="8"/>
  <c r="E15" i="8"/>
  <c r="D15" i="8"/>
  <c r="Q14" i="10" l="1"/>
  <c r="L15" i="11"/>
  <c r="F117" i="10"/>
  <c r="I116" i="10"/>
  <c r="J30" i="8"/>
  <c r="I30" i="8"/>
  <c r="G30" i="8" s="1"/>
  <c r="B15" i="10"/>
  <c r="O15" i="10" s="1"/>
  <c r="B15" i="8"/>
  <c r="D16" i="8"/>
  <c r="E16" i="8"/>
  <c r="Q15" i="10" l="1"/>
  <c r="F118" i="10"/>
  <c r="I117" i="10"/>
  <c r="J31" i="8"/>
  <c r="I31" i="8"/>
  <c r="G31" i="8" s="1"/>
  <c r="B16" i="10"/>
  <c r="O16" i="10" s="1"/>
  <c r="B16" i="8"/>
  <c r="D17" i="8"/>
  <c r="E17" i="8"/>
  <c r="Q16" i="10" l="1"/>
  <c r="F119" i="10"/>
  <c r="I118" i="10"/>
  <c r="I32" i="8"/>
  <c r="G32" i="8" s="1"/>
  <c r="J32" i="8"/>
  <c r="B17" i="10"/>
  <c r="O17" i="10" s="1"/>
  <c r="B17" i="8"/>
  <c r="D18" i="8"/>
  <c r="G7" i="11" s="1"/>
  <c r="E18" i="8"/>
  <c r="Q17" i="10" l="1"/>
  <c r="F120" i="10"/>
  <c r="I119" i="10"/>
  <c r="J33" i="8"/>
  <c r="I33" i="8"/>
  <c r="G33" i="8" s="1"/>
  <c r="B18" i="10"/>
  <c r="O18" i="10" s="1"/>
  <c r="B18" i="8"/>
  <c r="E7" i="11" s="1"/>
  <c r="E19" i="8"/>
  <c r="D19" i="8"/>
  <c r="R19" i="10" l="1"/>
  <c r="Q18" i="10"/>
  <c r="F121" i="10"/>
  <c r="I120" i="10"/>
  <c r="I34" i="8"/>
  <c r="G34" i="8" s="1"/>
  <c r="J34" i="8"/>
  <c r="B19" i="10"/>
  <c r="Q19" i="10" s="1"/>
  <c r="B19" i="8"/>
  <c r="D20" i="8"/>
  <c r="E20" i="8"/>
  <c r="O19" i="10" l="1"/>
  <c r="M7" i="11" s="1"/>
  <c r="F122" i="10"/>
  <c r="I121" i="10"/>
  <c r="J35" i="8"/>
  <c r="I35" i="8"/>
  <c r="G35" i="8" s="1"/>
  <c r="B20" i="8"/>
  <c r="D21" i="8"/>
  <c r="E21" i="8"/>
  <c r="F123" i="10" l="1"/>
  <c r="I122" i="10"/>
  <c r="I36" i="8"/>
  <c r="G36" i="8" s="1"/>
  <c r="J36" i="8"/>
  <c r="B21" i="8"/>
  <c r="E22" i="8"/>
  <c r="D22" i="8"/>
  <c r="F124" i="10" l="1"/>
  <c r="I123" i="10"/>
  <c r="J37" i="8"/>
  <c r="I37" i="8"/>
  <c r="G37" i="8" s="1"/>
  <c r="B22" i="8"/>
  <c r="D23" i="8"/>
  <c r="E23" i="8"/>
  <c r="F125" i="10" l="1"/>
  <c r="I124" i="10"/>
  <c r="J38" i="8"/>
  <c r="I38" i="8"/>
  <c r="G38" i="8" s="1"/>
  <c r="B23" i="8"/>
  <c r="E24" i="8"/>
  <c r="D24" i="8"/>
  <c r="F126" i="10" l="1"/>
  <c r="I125" i="10"/>
  <c r="J39" i="8"/>
  <c r="I39" i="8"/>
  <c r="G39" i="8" s="1"/>
  <c r="B24" i="8"/>
  <c r="D25" i="8"/>
  <c r="E25" i="8"/>
  <c r="F127" i="10" l="1"/>
  <c r="I126" i="10"/>
  <c r="J40" i="8"/>
  <c r="I40" i="8"/>
  <c r="G40" i="8" s="1"/>
  <c r="B25" i="8"/>
  <c r="E26" i="8"/>
  <c r="D26" i="8"/>
  <c r="F128" i="10" l="1"/>
  <c r="I16" i="11"/>
  <c r="I127" i="10"/>
  <c r="J41" i="8"/>
  <c r="I41" i="8"/>
  <c r="G41" i="8" s="1"/>
  <c r="B26" i="8"/>
  <c r="D27" i="8"/>
  <c r="E27" i="8"/>
  <c r="L16" i="11" l="1"/>
  <c r="F129" i="10"/>
  <c r="I128" i="10"/>
  <c r="J42" i="8"/>
  <c r="I42" i="8"/>
  <c r="G42" i="8" s="1"/>
  <c r="B27" i="8"/>
  <c r="D28" i="8"/>
  <c r="E28" i="8"/>
  <c r="F130" i="10" l="1"/>
  <c r="I129" i="10"/>
  <c r="I43" i="8"/>
  <c r="G43" i="8" s="1"/>
  <c r="J43" i="8"/>
  <c r="B28" i="8"/>
  <c r="D29" i="8"/>
  <c r="E29" i="8"/>
  <c r="F131" i="10" l="1"/>
  <c r="I130" i="10"/>
  <c r="J44" i="8"/>
  <c r="I44" i="8"/>
  <c r="G44" i="8" s="1"/>
  <c r="B29" i="8"/>
  <c r="E30" i="8"/>
  <c r="D30" i="8"/>
  <c r="G8" i="11" s="1"/>
  <c r="F132" i="10" l="1"/>
  <c r="I131" i="10"/>
  <c r="I45" i="8"/>
  <c r="G45" i="8" s="1"/>
  <c r="J45" i="8"/>
  <c r="B30" i="8"/>
  <c r="E31" i="8"/>
  <c r="D31" i="8"/>
  <c r="F133" i="10" l="1"/>
  <c r="I132" i="10"/>
  <c r="I46" i="8"/>
  <c r="G46" i="8" s="1"/>
  <c r="J46" i="8"/>
  <c r="B31" i="8"/>
  <c r="D32" i="8"/>
  <c r="E32" i="8"/>
  <c r="F134" i="10" l="1"/>
  <c r="I133" i="10"/>
  <c r="I47" i="8"/>
  <c r="G47" i="8" s="1"/>
  <c r="J47" i="8"/>
  <c r="B32" i="8"/>
  <c r="D33" i="8"/>
  <c r="E33" i="8"/>
  <c r="F135" i="10" l="1"/>
  <c r="I134" i="10"/>
  <c r="J48" i="8"/>
  <c r="I48" i="8"/>
  <c r="G48" i="8" s="1"/>
  <c r="B33" i="8"/>
  <c r="E34" i="8"/>
  <c r="D34" i="8"/>
  <c r="F136" i="10" l="1"/>
  <c r="I135" i="10"/>
  <c r="I49" i="8"/>
  <c r="G49" i="8" s="1"/>
  <c r="J49" i="8"/>
  <c r="B34" i="8"/>
  <c r="D35" i="8"/>
  <c r="E35" i="8"/>
  <c r="F137" i="10" l="1"/>
  <c r="I136" i="10"/>
  <c r="I50" i="8"/>
  <c r="G50" i="8" s="1"/>
  <c r="J50" i="8"/>
  <c r="B35" i="8"/>
  <c r="E36" i="8"/>
  <c r="D36" i="8"/>
  <c r="F138" i="10" l="1"/>
  <c r="I137" i="10"/>
  <c r="I51" i="8"/>
  <c r="G51" i="8" s="1"/>
  <c r="J51" i="8"/>
  <c r="B36" i="8"/>
  <c r="E37" i="8"/>
  <c r="D37" i="8"/>
  <c r="F139" i="10" l="1"/>
  <c r="I138" i="10"/>
  <c r="I52" i="8"/>
  <c r="G52" i="8" s="1"/>
  <c r="J52" i="8"/>
  <c r="B37" i="8"/>
  <c r="D38" i="8"/>
  <c r="E38" i="8"/>
  <c r="F140" i="10" l="1"/>
  <c r="I17" i="11"/>
  <c r="I139" i="10"/>
  <c r="I53" i="8"/>
  <c r="G53" i="8" s="1"/>
  <c r="J53" i="8"/>
  <c r="B38" i="8"/>
  <c r="D39" i="8"/>
  <c r="E39" i="8"/>
  <c r="L17" i="11" l="1"/>
  <c r="F141" i="10"/>
  <c r="I140" i="10"/>
  <c r="I54" i="8"/>
  <c r="G54" i="8" s="1"/>
  <c r="J54" i="8"/>
  <c r="B39" i="8"/>
  <c r="E40" i="8"/>
  <c r="D40" i="8"/>
  <c r="F142" i="10" l="1"/>
  <c r="I141" i="10"/>
  <c r="I55" i="8"/>
  <c r="G55" i="8" s="1"/>
  <c r="J55" i="8"/>
  <c r="B40" i="8"/>
  <c r="E41" i="8"/>
  <c r="D41" i="8"/>
  <c r="F143" i="10" l="1"/>
  <c r="I142" i="10"/>
  <c r="I56" i="8"/>
  <c r="G56" i="8" s="1"/>
  <c r="J56" i="8"/>
  <c r="B41" i="8"/>
  <c r="D42" i="8"/>
  <c r="G9" i="11" s="1"/>
  <c r="E42" i="8"/>
  <c r="F144" i="10" l="1"/>
  <c r="I143" i="10"/>
  <c r="I57" i="8"/>
  <c r="G57" i="8" s="1"/>
  <c r="J57" i="8"/>
  <c r="B42" i="8"/>
  <c r="D43" i="8"/>
  <c r="E43" i="8"/>
  <c r="F145" i="10" l="1"/>
  <c r="I144" i="10"/>
  <c r="I58" i="8"/>
  <c r="G58" i="8" s="1"/>
  <c r="J58" i="8"/>
  <c r="B43" i="8"/>
  <c r="E44" i="8"/>
  <c r="D44" i="8"/>
  <c r="F146" i="10" l="1"/>
  <c r="I145" i="10"/>
  <c r="I59" i="8"/>
  <c r="G59" i="8" s="1"/>
  <c r="J59" i="8"/>
  <c r="B44" i="8"/>
  <c r="D45" i="8"/>
  <c r="E45" i="8"/>
  <c r="F147" i="10" l="1"/>
  <c r="I146" i="10"/>
  <c r="J60" i="8"/>
  <c r="I60" i="8"/>
  <c r="G60" i="8" s="1"/>
  <c r="B45" i="8"/>
  <c r="E46" i="8"/>
  <c r="D46" i="8"/>
  <c r="F148" i="10" l="1"/>
  <c r="I147" i="10"/>
  <c r="I61" i="8"/>
  <c r="G61" i="8" s="1"/>
  <c r="J61" i="8"/>
  <c r="B46" i="8"/>
  <c r="D47" i="8"/>
  <c r="E47" i="8"/>
  <c r="F149" i="10" l="1"/>
  <c r="I148" i="10"/>
  <c r="I62" i="8"/>
  <c r="G62" i="8" s="1"/>
  <c r="J62" i="8"/>
  <c r="B47" i="8"/>
  <c r="D48" i="8"/>
  <c r="E48" i="8"/>
  <c r="F150" i="10" l="1"/>
  <c r="I149" i="10"/>
  <c r="I63" i="8"/>
  <c r="G63" i="8" s="1"/>
  <c r="J63" i="8"/>
  <c r="B48" i="8"/>
  <c r="E49" i="8"/>
  <c r="D49" i="8"/>
  <c r="F151" i="10" l="1"/>
  <c r="I150" i="10"/>
  <c r="J64" i="8"/>
  <c r="I64" i="8"/>
  <c r="G64" i="8" s="1"/>
  <c r="B49" i="8"/>
  <c r="D50" i="8"/>
  <c r="E50" i="8"/>
  <c r="F152" i="10" l="1"/>
  <c r="I18" i="11"/>
  <c r="I151" i="10"/>
  <c r="I65" i="8"/>
  <c r="G65" i="8" s="1"/>
  <c r="J65" i="8"/>
  <c r="B50" i="8"/>
  <c r="E51" i="8"/>
  <c r="D51" i="8"/>
  <c r="L18" i="11" l="1"/>
  <c r="F153" i="10"/>
  <c r="I152" i="10"/>
  <c r="I66" i="8"/>
  <c r="J66" i="8"/>
  <c r="B51" i="8"/>
  <c r="D52" i="8"/>
  <c r="E52" i="8"/>
  <c r="G66" i="8" l="1"/>
  <c r="F154" i="10"/>
  <c r="I153" i="10"/>
  <c r="I67" i="8"/>
  <c r="G67" i="8" s="1"/>
  <c r="J67" i="8"/>
  <c r="B52" i="8"/>
  <c r="E53" i="8"/>
  <c r="D53" i="8"/>
  <c r="F155" i="10" l="1"/>
  <c r="I154" i="10"/>
  <c r="I68" i="8"/>
  <c r="G68" i="8" s="1"/>
  <c r="J68" i="8"/>
  <c r="B53" i="8"/>
  <c r="D54" i="8"/>
  <c r="G10" i="11" s="1"/>
  <c r="E54" i="8"/>
  <c r="F156" i="10" l="1"/>
  <c r="I155" i="10"/>
  <c r="J69" i="8"/>
  <c r="I69" i="8"/>
  <c r="G69" i="8" s="1"/>
  <c r="B54" i="8"/>
  <c r="E55" i="8"/>
  <c r="D55" i="8"/>
  <c r="F157" i="10" l="1"/>
  <c r="I156" i="10"/>
  <c r="I70" i="8"/>
  <c r="G70" i="8" s="1"/>
  <c r="J70" i="8"/>
  <c r="B55" i="8"/>
  <c r="E56" i="8"/>
  <c r="D56" i="8"/>
  <c r="F158" i="10" l="1"/>
  <c r="I157" i="10"/>
  <c r="I71" i="8"/>
  <c r="G71" i="8" s="1"/>
  <c r="J71" i="8"/>
  <c r="B56" i="8"/>
  <c r="E57" i="8"/>
  <c r="D57" i="8"/>
  <c r="F159" i="10" l="1"/>
  <c r="I158" i="10"/>
  <c r="I72" i="8"/>
  <c r="G72" i="8" s="1"/>
  <c r="J72" i="8"/>
  <c r="B57" i="8"/>
  <c r="D58" i="8"/>
  <c r="E58" i="8"/>
  <c r="F160" i="10" l="1"/>
  <c r="I159" i="10"/>
  <c r="I73" i="8"/>
  <c r="G73" i="8" s="1"/>
  <c r="J73" i="8"/>
  <c r="B58" i="8"/>
  <c r="E59" i="8"/>
  <c r="D59" i="8"/>
  <c r="F161" i="10" l="1"/>
  <c r="I160" i="10"/>
  <c r="I74" i="8"/>
  <c r="G74" i="8" s="1"/>
  <c r="J74" i="8"/>
  <c r="B59" i="8"/>
  <c r="E60" i="8"/>
  <c r="D60" i="8"/>
  <c r="F162" i="10" l="1"/>
  <c r="I161" i="10"/>
  <c r="I75" i="8"/>
  <c r="G75" i="8" s="1"/>
  <c r="J75" i="8"/>
  <c r="B60" i="8"/>
  <c r="D61" i="8"/>
  <c r="E61" i="8"/>
  <c r="F163" i="10" l="1"/>
  <c r="I162" i="10"/>
  <c r="J76" i="8"/>
  <c r="I76" i="8"/>
  <c r="G76" i="8" s="1"/>
  <c r="B61" i="8"/>
  <c r="E62" i="8"/>
  <c r="D62" i="8"/>
  <c r="F164" i="10" l="1"/>
  <c r="I19" i="11"/>
  <c r="I163" i="10"/>
  <c r="I77" i="8"/>
  <c r="G77" i="8" s="1"/>
  <c r="J77" i="8"/>
  <c r="B62" i="8"/>
  <c r="E63" i="8"/>
  <c r="D63" i="8"/>
  <c r="L19" i="11" l="1"/>
  <c r="F165" i="10"/>
  <c r="I164" i="10"/>
  <c r="I78" i="8"/>
  <c r="G78" i="8" s="1"/>
  <c r="J78" i="8"/>
  <c r="B63" i="8"/>
  <c r="E64" i="8"/>
  <c r="D64" i="8"/>
  <c r="F166" i="10" l="1"/>
  <c r="I165" i="10"/>
  <c r="I79" i="8"/>
  <c r="G79" i="8" s="1"/>
  <c r="J79" i="8"/>
  <c r="B64" i="8"/>
  <c r="D65" i="8"/>
  <c r="E65" i="8"/>
  <c r="F167" i="10" l="1"/>
  <c r="I166" i="10"/>
  <c r="J80" i="8"/>
  <c r="I80" i="8"/>
  <c r="G80" i="8" s="1"/>
  <c r="B65" i="8"/>
  <c r="E66" i="8"/>
  <c r="D66" i="8"/>
  <c r="G11" i="11" s="1"/>
  <c r="F168" i="10" l="1"/>
  <c r="I167" i="10"/>
  <c r="I81" i="8"/>
  <c r="G81" i="8" s="1"/>
  <c r="J81" i="8"/>
  <c r="B66" i="8"/>
  <c r="D67" i="8"/>
  <c r="E67" i="8"/>
  <c r="F169" i="10" l="1"/>
  <c r="I168" i="10"/>
  <c r="I82" i="8"/>
  <c r="G82" i="8" s="1"/>
  <c r="J82" i="8"/>
  <c r="B67" i="8"/>
  <c r="E68" i="8"/>
  <c r="D68" i="8"/>
  <c r="F170" i="10" l="1"/>
  <c r="I169" i="10"/>
  <c r="I83" i="8"/>
  <c r="G83" i="8" s="1"/>
  <c r="J83" i="8"/>
  <c r="B68" i="8"/>
  <c r="E69" i="8"/>
  <c r="D69" i="8"/>
  <c r="F171" i="10" l="1"/>
  <c r="I170" i="10"/>
  <c r="I84" i="8"/>
  <c r="G84" i="8" s="1"/>
  <c r="J84" i="8"/>
  <c r="B69" i="8"/>
  <c r="E70" i="8"/>
  <c r="D70" i="8"/>
  <c r="F172" i="10" l="1"/>
  <c r="I171" i="10"/>
  <c r="I85" i="8"/>
  <c r="G85" i="8" s="1"/>
  <c r="J85" i="8"/>
  <c r="B70" i="8"/>
  <c r="D71" i="8"/>
  <c r="E71" i="8"/>
  <c r="F173" i="10" l="1"/>
  <c r="I172" i="10"/>
  <c r="I86" i="8"/>
  <c r="G86" i="8" s="1"/>
  <c r="J86" i="8"/>
  <c r="B71" i="8"/>
  <c r="D72" i="8"/>
  <c r="E72" i="8"/>
  <c r="F174" i="10" l="1"/>
  <c r="I173" i="10"/>
  <c r="I87" i="8"/>
  <c r="G87" i="8" s="1"/>
  <c r="J87" i="8"/>
  <c r="B72" i="8"/>
  <c r="D73" i="8"/>
  <c r="E73" i="8"/>
  <c r="F175" i="10" l="1"/>
  <c r="I174" i="10"/>
  <c r="I88" i="8"/>
  <c r="G88" i="8" s="1"/>
  <c r="J88" i="8"/>
  <c r="B73" i="8"/>
  <c r="E74" i="8"/>
  <c r="D74" i="8"/>
  <c r="F176" i="10" l="1"/>
  <c r="I20" i="11"/>
  <c r="I175" i="10"/>
  <c r="I89" i="8"/>
  <c r="G89" i="8" s="1"/>
  <c r="J89" i="8"/>
  <c r="B74" i="8"/>
  <c r="D75" i="8"/>
  <c r="E75" i="8"/>
  <c r="L20" i="11" l="1"/>
  <c r="F177" i="10"/>
  <c r="I176" i="10"/>
  <c r="I90" i="8"/>
  <c r="G90" i="8" s="1"/>
  <c r="J90" i="8"/>
  <c r="B75" i="8"/>
  <c r="D76" i="8"/>
  <c r="E76" i="8"/>
  <c r="F178" i="10" l="1"/>
  <c r="I177" i="10"/>
  <c r="I91" i="8"/>
  <c r="G91" i="8" s="1"/>
  <c r="J91" i="8"/>
  <c r="B76" i="8"/>
  <c r="D77" i="8"/>
  <c r="E77" i="8"/>
  <c r="F179" i="10" l="1"/>
  <c r="I178" i="10"/>
  <c r="J92" i="8"/>
  <c r="I92" i="8"/>
  <c r="G92" i="8" s="1"/>
  <c r="B77" i="8"/>
  <c r="D78" i="8"/>
  <c r="G12" i="11" s="1"/>
  <c r="E78" i="8"/>
  <c r="F180" i="10" l="1"/>
  <c r="I179" i="10"/>
  <c r="I93" i="8"/>
  <c r="G93" i="8" s="1"/>
  <c r="J93" i="8"/>
  <c r="B78" i="8"/>
  <c r="D79" i="8"/>
  <c r="E79" i="8"/>
  <c r="F181" i="10" l="1"/>
  <c r="I180" i="10"/>
  <c r="I94" i="8"/>
  <c r="G94" i="8" s="1"/>
  <c r="J94" i="8"/>
  <c r="B79" i="8"/>
  <c r="E80" i="8"/>
  <c r="D80" i="8"/>
  <c r="F182" i="10" l="1"/>
  <c r="I181" i="10"/>
  <c r="I95" i="8"/>
  <c r="G95" i="8" s="1"/>
  <c r="J95" i="8"/>
  <c r="B80" i="8"/>
  <c r="D81" i="8"/>
  <c r="E81" i="8"/>
  <c r="F183" i="10" l="1"/>
  <c r="I182" i="10"/>
  <c r="I96" i="8"/>
  <c r="G96" i="8" s="1"/>
  <c r="J96" i="8"/>
  <c r="B81" i="8"/>
  <c r="E82" i="8"/>
  <c r="D82" i="8"/>
  <c r="F184" i="10" l="1"/>
  <c r="I183" i="10"/>
  <c r="I97" i="8"/>
  <c r="G97" i="8" s="1"/>
  <c r="J97" i="8"/>
  <c r="B82" i="8"/>
  <c r="D83" i="8"/>
  <c r="E83" i="8"/>
  <c r="F185" i="10" l="1"/>
  <c r="I184" i="10"/>
  <c r="I98" i="8"/>
  <c r="G98" i="8" s="1"/>
  <c r="J98" i="8"/>
  <c r="B83" i="8"/>
  <c r="E84" i="8"/>
  <c r="D84" i="8"/>
  <c r="F186" i="10" l="1"/>
  <c r="I185" i="10"/>
  <c r="I99" i="8"/>
  <c r="G99" i="8" s="1"/>
  <c r="J99" i="8"/>
  <c r="B84" i="8"/>
  <c r="E85" i="8"/>
  <c r="D85" i="8"/>
  <c r="F187" i="10" l="1"/>
  <c r="I186" i="10"/>
  <c r="J100" i="8"/>
  <c r="I100" i="8"/>
  <c r="G100" i="8" s="1"/>
  <c r="B85" i="8"/>
  <c r="D86" i="8"/>
  <c r="E86" i="8"/>
  <c r="F188" i="10" l="1"/>
  <c r="I21" i="11"/>
  <c r="I187" i="10"/>
  <c r="I101" i="8"/>
  <c r="G101" i="8" s="1"/>
  <c r="J101" i="8"/>
  <c r="B86" i="8"/>
  <c r="E87" i="8"/>
  <c r="D87" i="8"/>
  <c r="L21" i="11" l="1"/>
  <c r="F189" i="10"/>
  <c r="I188" i="10"/>
  <c r="I102" i="8"/>
  <c r="G102" i="8" s="1"/>
  <c r="J102" i="8"/>
  <c r="B87" i="8"/>
  <c r="E88" i="8"/>
  <c r="D88" i="8"/>
  <c r="F190" i="10" l="1"/>
  <c r="I189" i="10"/>
  <c r="I103" i="8"/>
  <c r="G103" i="8" s="1"/>
  <c r="J103" i="8"/>
  <c r="B88" i="8"/>
  <c r="D89" i="8"/>
  <c r="E89" i="8"/>
  <c r="F191" i="10" l="1"/>
  <c r="I190" i="10"/>
  <c r="I104" i="8"/>
  <c r="G104" i="8" s="1"/>
  <c r="J104" i="8"/>
  <c r="B89" i="8"/>
  <c r="D90" i="8"/>
  <c r="G13" i="11" s="1"/>
  <c r="E90" i="8"/>
  <c r="F192" i="10" l="1"/>
  <c r="I191" i="10"/>
  <c r="I105" i="8"/>
  <c r="G105" i="8" s="1"/>
  <c r="J105" i="8"/>
  <c r="B90" i="8"/>
  <c r="D91" i="8"/>
  <c r="E91" i="8"/>
  <c r="F193" i="10" l="1"/>
  <c r="I192" i="10"/>
  <c r="J106" i="8"/>
  <c r="I106" i="8"/>
  <c r="G106" i="8" s="1"/>
  <c r="B91" i="8"/>
  <c r="E92" i="8"/>
  <c r="D92" i="8"/>
  <c r="F194" i="10" l="1"/>
  <c r="I193" i="10"/>
  <c r="I107" i="8"/>
  <c r="G107" i="8" s="1"/>
  <c r="J107" i="8"/>
  <c r="B92" i="8"/>
  <c r="D93" i="8"/>
  <c r="E93" i="8"/>
  <c r="F195" i="10" l="1"/>
  <c r="I194" i="10"/>
  <c r="J108" i="8"/>
  <c r="I108" i="8"/>
  <c r="G108" i="8" s="1"/>
  <c r="B93" i="8"/>
  <c r="D94" i="8"/>
  <c r="E94" i="8"/>
  <c r="F196" i="10" l="1"/>
  <c r="I195" i="10"/>
  <c r="I109" i="8"/>
  <c r="G109" i="8" s="1"/>
  <c r="J109" i="8"/>
  <c r="B94" i="8"/>
  <c r="E95" i="8"/>
  <c r="D95" i="8"/>
  <c r="F197" i="10" l="1"/>
  <c r="I196" i="10"/>
  <c r="I110" i="8"/>
  <c r="G110" i="8" s="1"/>
  <c r="J110" i="8"/>
  <c r="B95" i="8"/>
  <c r="D96" i="8"/>
  <c r="E96" i="8"/>
  <c r="F198" i="10" l="1"/>
  <c r="I197" i="10"/>
  <c r="I111" i="8"/>
  <c r="G111" i="8" s="1"/>
  <c r="J111" i="8"/>
  <c r="B96" i="8"/>
  <c r="E97" i="8"/>
  <c r="D97" i="8"/>
  <c r="F199" i="10" l="1"/>
  <c r="I198" i="10"/>
  <c r="J112" i="8"/>
  <c r="I112" i="8"/>
  <c r="G112" i="8" s="1"/>
  <c r="B97" i="8"/>
  <c r="D98" i="8"/>
  <c r="E98" i="8"/>
  <c r="F200" i="10" l="1"/>
  <c r="I22" i="11"/>
  <c r="I199" i="10"/>
  <c r="J113" i="8"/>
  <c r="I113" i="8"/>
  <c r="G113" i="8" s="1"/>
  <c r="B98" i="8"/>
  <c r="E99" i="8"/>
  <c r="D99" i="8"/>
  <c r="L22" i="11" l="1"/>
  <c r="F201" i="10"/>
  <c r="I200" i="10"/>
  <c r="J114" i="8"/>
  <c r="I114" i="8"/>
  <c r="G114" i="8" s="1"/>
  <c r="B99" i="8"/>
  <c r="D100" i="8"/>
  <c r="E100" i="8"/>
  <c r="F202" i="10" l="1"/>
  <c r="I201" i="10"/>
  <c r="I115" i="8"/>
  <c r="G115" i="8" s="1"/>
  <c r="J115" i="8"/>
  <c r="B100" i="8"/>
  <c r="D101" i="8"/>
  <c r="E101" i="8"/>
  <c r="F203" i="10" l="1"/>
  <c r="I202" i="10"/>
  <c r="J116" i="8"/>
  <c r="I116" i="8"/>
  <c r="G116" i="8" s="1"/>
  <c r="B101" i="8"/>
  <c r="E102" i="8"/>
  <c r="D102" i="8"/>
  <c r="G14" i="11" s="1"/>
  <c r="F204" i="10" l="1"/>
  <c r="I203" i="10"/>
  <c r="J117" i="8"/>
  <c r="I117" i="8"/>
  <c r="G117" i="8" s="1"/>
  <c r="B102" i="8"/>
  <c r="E103" i="8"/>
  <c r="D103" i="8"/>
  <c r="F205" i="10" l="1"/>
  <c r="I204" i="10"/>
  <c r="I118" i="8"/>
  <c r="G118" i="8" s="1"/>
  <c r="J118" i="8"/>
  <c r="B103" i="8"/>
  <c r="E104" i="8"/>
  <c r="D104" i="8"/>
  <c r="F206" i="10" l="1"/>
  <c r="I205" i="10"/>
  <c r="I119" i="8"/>
  <c r="G119" i="8" s="1"/>
  <c r="J119" i="8"/>
  <c r="B104" i="8"/>
  <c r="E105" i="8"/>
  <c r="D105" i="8"/>
  <c r="F207" i="10" l="1"/>
  <c r="I206" i="10"/>
  <c r="I120" i="8"/>
  <c r="G120" i="8" s="1"/>
  <c r="J120" i="8"/>
  <c r="B105" i="8"/>
  <c r="D106" i="8"/>
  <c r="E106" i="8"/>
  <c r="F208" i="10" l="1"/>
  <c r="I207" i="10"/>
  <c r="J121" i="8"/>
  <c r="I121" i="8"/>
  <c r="G121" i="8" s="1"/>
  <c r="B106" i="8"/>
  <c r="D107" i="8"/>
  <c r="E107" i="8"/>
  <c r="F209" i="10" l="1"/>
  <c r="I208" i="10"/>
  <c r="J122" i="8"/>
  <c r="I122" i="8"/>
  <c r="G122" i="8" s="1"/>
  <c r="B107" i="8"/>
  <c r="E108" i="8"/>
  <c r="D108" i="8"/>
  <c r="F210" i="10" l="1"/>
  <c r="I209" i="10"/>
  <c r="I123" i="8"/>
  <c r="G123" i="8" s="1"/>
  <c r="J123" i="8"/>
  <c r="B108" i="8"/>
  <c r="D109" i="8"/>
  <c r="E109" i="8"/>
  <c r="F211" i="10" l="1"/>
  <c r="I210" i="10"/>
  <c r="J124" i="8"/>
  <c r="I124" i="8"/>
  <c r="G124" i="8" s="1"/>
  <c r="B109" i="8"/>
  <c r="D110" i="8"/>
  <c r="E110" i="8"/>
  <c r="F212" i="10" l="1"/>
  <c r="I211" i="10"/>
  <c r="I23" i="11"/>
  <c r="I125" i="8"/>
  <c r="G125" i="8" s="1"/>
  <c r="J125" i="8"/>
  <c r="B110" i="8"/>
  <c r="E111" i="8"/>
  <c r="D111" i="8"/>
  <c r="L23" i="11" l="1"/>
  <c r="F213" i="10"/>
  <c r="I212" i="10"/>
  <c r="J126" i="8"/>
  <c r="I126" i="8"/>
  <c r="G126" i="8" s="1"/>
  <c r="B111" i="8"/>
  <c r="E112" i="8"/>
  <c r="D112" i="8"/>
  <c r="F214" i="10" l="1"/>
  <c r="I213" i="10"/>
  <c r="J127" i="8"/>
  <c r="I127" i="8"/>
  <c r="G127" i="8" s="1"/>
  <c r="B112" i="8"/>
  <c r="D113" i="8"/>
  <c r="E113" i="8"/>
  <c r="F215" i="10" l="1"/>
  <c r="I214" i="10"/>
  <c r="J128" i="8"/>
  <c r="I128" i="8"/>
  <c r="G128" i="8" s="1"/>
  <c r="B113" i="8"/>
  <c r="D114" i="8"/>
  <c r="G15" i="11" s="1"/>
  <c r="E114" i="8"/>
  <c r="F216" i="10" l="1"/>
  <c r="I215" i="10"/>
  <c r="J129" i="8"/>
  <c r="I129" i="8"/>
  <c r="G129" i="8" s="1"/>
  <c r="B114" i="8"/>
  <c r="E115" i="8"/>
  <c r="D115" i="8"/>
  <c r="F217" i="10" l="1"/>
  <c r="I216" i="10"/>
  <c r="J130" i="8"/>
  <c r="I130" i="8"/>
  <c r="G130" i="8" s="1"/>
  <c r="B115" i="8"/>
  <c r="E116" i="8"/>
  <c r="D116" i="8"/>
  <c r="F218" i="10" l="1"/>
  <c r="I217" i="10"/>
  <c r="J131" i="8"/>
  <c r="I131" i="8"/>
  <c r="G131" i="8" s="1"/>
  <c r="B116" i="8"/>
  <c r="D117" i="8"/>
  <c r="E117" i="8"/>
  <c r="F219" i="10" l="1"/>
  <c r="I218" i="10"/>
  <c r="J132" i="8"/>
  <c r="I132" i="8"/>
  <c r="G132" i="8" s="1"/>
  <c r="B117" i="8"/>
  <c r="E118" i="8"/>
  <c r="D118" i="8"/>
  <c r="F220" i="10" l="1"/>
  <c r="I219" i="10"/>
  <c r="I133" i="8"/>
  <c r="G133" i="8" s="1"/>
  <c r="J133" i="8"/>
  <c r="B118" i="8"/>
  <c r="D119" i="8"/>
  <c r="E119" i="8"/>
  <c r="F221" i="10" l="1"/>
  <c r="I220" i="10"/>
  <c r="J134" i="8"/>
  <c r="I134" i="8"/>
  <c r="G134" i="8" s="1"/>
  <c r="B119" i="8"/>
  <c r="D120" i="8"/>
  <c r="E120" i="8"/>
  <c r="F222" i="10" l="1"/>
  <c r="I221" i="10"/>
  <c r="J135" i="8"/>
  <c r="I135" i="8"/>
  <c r="G135" i="8" s="1"/>
  <c r="B120" i="8"/>
  <c r="D121" i="8"/>
  <c r="E121" i="8"/>
  <c r="F223" i="10" l="1"/>
  <c r="I222" i="10"/>
  <c r="I136" i="8"/>
  <c r="G136" i="8" s="1"/>
  <c r="J136" i="8"/>
  <c r="B121" i="8"/>
  <c r="D122" i="8"/>
  <c r="E122" i="8"/>
  <c r="F224" i="10" l="1"/>
  <c r="I223" i="10"/>
  <c r="I24" i="11"/>
  <c r="J137" i="8"/>
  <c r="I137" i="8"/>
  <c r="G137" i="8" s="1"/>
  <c r="B122" i="8"/>
  <c r="E123" i="8"/>
  <c r="D123" i="8"/>
  <c r="L24" i="11" l="1"/>
  <c r="F225" i="10"/>
  <c r="I224" i="10"/>
  <c r="J138" i="8"/>
  <c r="I138" i="8"/>
  <c r="G138" i="8" s="1"/>
  <c r="B123" i="8"/>
  <c r="D124" i="8"/>
  <c r="E124" i="8"/>
  <c r="F226" i="10" l="1"/>
  <c r="I225" i="10"/>
  <c r="I139" i="8"/>
  <c r="G139" i="8" s="1"/>
  <c r="J139" i="8"/>
  <c r="B124" i="8"/>
  <c r="D125" i="8"/>
  <c r="E125" i="8"/>
  <c r="F227" i="10" l="1"/>
  <c r="I226" i="10"/>
  <c r="J140" i="8"/>
  <c r="I140" i="8"/>
  <c r="G140" i="8" s="1"/>
  <c r="B125" i="8"/>
  <c r="D126" i="8"/>
  <c r="G16" i="11" s="1"/>
  <c r="E126" i="8"/>
  <c r="F228" i="10" l="1"/>
  <c r="I227" i="10"/>
  <c r="I141" i="8"/>
  <c r="G141" i="8" s="1"/>
  <c r="J141" i="8"/>
  <c r="D127" i="8"/>
  <c r="E127" i="8"/>
  <c r="B126" i="8"/>
  <c r="F229" i="10" l="1"/>
  <c r="I228" i="10"/>
  <c r="I142" i="8"/>
  <c r="G142" i="8" s="1"/>
  <c r="J142" i="8"/>
  <c r="B127" i="8"/>
  <c r="D128" i="8"/>
  <c r="E128" i="8"/>
  <c r="F230" i="10" l="1"/>
  <c r="I229" i="10"/>
  <c r="J143" i="8"/>
  <c r="I143" i="8"/>
  <c r="G143" i="8" s="1"/>
  <c r="B128" i="8"/>
  <c r="D129" i="8"/>
  <c r="E129" i="8"/>
  <c r="F231" i="10" l="1"/>
  <c r="I230" i="10"/>
  <c r="I144" i="8"/>
  <c r="G144" i="8" s="1"/>
  <c r="J144" i="8"/>
  <c r="B129" i="8"/>
  <c r="D130" i="8"/>
  <c r="E130" i="8"/>
  <c r="F232" i="10" l="1"/>
  <c r="I231" i="10"/>
  <c r="J145" i="8"/>
  <c r="I145" i="8"/>
  <c r="G145" i="8" s="1"/>
  <c r="B130" i="8"/>
  <c r="D131" i="8"/>
  <c r="E131" i="8"/>
  <c r="F233" i="10" l="1"/>
  <c r="I232" i="10"/>
  <c r="I146" i="8"/>
  <c r="G146" i="8" s="1"/>
  <c r="J146" i="8"/>
  <c r="B131" i="8"/>
  <c r="D132" i="8"/>
  <c r="E132" i="8"/>
  <c r="F234" i="10" l="1"/>
  <c r="I233" i="10"/>
  <c r="I147" i="8"/>
  <c r="G147" i="8" s="1"/>
  <c r="J147" i="8"/>
  <c r="B132" i="8"/>
  <c r="D133" i="8"/>
  <c r="E133" i="8"/>
  <c r="F235" i="10" l="1"/>
  <c r="I234" i="10"/>
  <c r="J148" i="8"/>
  <c r="I148" i="8"/>
  <c r="G148" i="8" s="1"/>
  <c r="B133" i="8"/>
  <c r="D134" i="8"/>
  <c r="E134" i="8"/>
  <c r="F236" i="10" l="1"/>
  <c r="I235" i="10"/>
  <c r="I25" i="11"/>
  <c r="J149" i="8"/>
  <c r="I149" i="8"/>
  <c r="G149" i="8" s="1"/>
  <c r="B134" i="8"/>
  <c r="D135" i="8"/>
  <c r="E135" i="8"/>
  <c r="L25" i="11" l="1"/>
  <c r="F237" i="10"/>
  <c r="I236" i="10"/>
  <c r="J150" i="8"/>
  <c r="I150" i="8"/>
  <c r="G150" i="8" s="1"/>
  <c r="B135" i="8"/>
  <c r="D136" i="8"/>
  <c r="E136" i="8"/>
  <c r="F238" i="10" l="1"/>
  <c r="I237" i="10"/>
  <c r="I151" i="8"/>
  <c r="G151" i="8" s="1"/>
  <c r="J151" i="8"/>
  <c r="B136" i="8"/>
  <c r="D137" i="8"/>
  <c r="E137" i="8"/>
  <c r="F239" i="10" l="1"/>
  <c r="I238" i="10"/>
  <c r="J152" i="8"/>
  <c r="I152" i="8"/>
  <c r="G152" i="8" s="1"/>
  <c r="B137" i="8"/>
  <c r="D138" i="8"/>
  <c r="G17" i="11" s="1"/>
  <c r="E138" i="8"/>
  <c r="H17" i="11" s="1"/>
  <c r="F240" i="10" l="1"/>
  <c r="I239" i="10"/>
  <c r="I153" i="8"/>
  <c r="G153" i="8" s="1"/>
  <c r="J153" i="8"/>
  <c r="B138" i="8"/>
  <c r="E17" i="11" s="1"/>
  <c r="D139" i="8"/>
  <c r="E139" i="8"/>
  <c r="F241" i="10" l="1"/>
  <c r="I240" i="10"/>
  <c r="J154" i="8"/>
  <c r="I154" i="8"/>
  <c r="G154" i="8" s="1"/>
  <c r="B139" i="8"/>
  <c r="D140" i="8"/>
  <c r="E140" i="8"/>
  <c r="F242" i="10" l="1"/>
  <c r="I241" i="10"/>
  <c r="J155" i="8"/>
  <c r="I155" i="8"/>
  <c r="G155" i="8" s="1"/>
  <c r="B140" i="8"/>
  <c r="D141" i="8"/>
  <c r="E141" i="8"/>
  <c r="F243" i="10" l="1"/>
  <c r="I242" i="10"/>
  <c r="I156" i="8"/>
  <c r="G156" i="8" s="1"/>
  <c r="J156" i="8"/>
  <c r="B141" i="8"/>
  <c r="D142" i="8"/>
  <c r="E142" i="8"/>
  <c r="F244" i="10" l="1"/>
  <c r="I243" i="10"/>
  <c r="I157" i="8"/>
  <c r="G157" i="8" s="1"/>
  <c r="J157" i="8"/>
  <c r="B142" i="8"/>
  <c r="D143" i="8"/>
  <c r="E143" i="8"/>
  <c r="F245" i="10" l="1"/>
  <c r="I244" i="10"/>
  <c r="J158" i="8"/>
  <c r="I158" i="8"/>
  <c r="G158" i="8" s="1"/>
  <c r="B143" i="8"/>
  <c r="D144" i="8"/>
  <c r="E144" i="8"/>
  <c r="F246" i="10" l="1"/>
  <c r="I245" i="10"/>
  <c r="I159" i="8"/>
  <c r="G159" i="8" s="1"/>
  <c r="J159" i="8"/>
  <c r="B144" i="8"/>
  <c r="D145" i="8"/>
  <c r="E145" i="8"/>
  <c r="F247" i="10" l="1"/>
  <c r="I246" i="10"/>
  <c r="I160" i="8"/>
  <c r="G160" i="8" s="1"/>
  <c r="J160" i="8"/>
  <c r="B145" i="8"/>
  <c r="D146" i="8"/>
  <c r="E146" i="8"/>
  <c r="F248" i="10" l="1"/>
  <c r="I247" i="10"/>
  <c r="I26" i="11"/>
  <c r="J161" i="8"/>
  <c r="I161" i="8"/>
  <c r="G161" i="8" s="1"/>
  <c r="B146" i="8"/>
  <c r="D147" i="8"/>
  <c r="E147" i="8"/>
  <c r="L26" i="11" l="1"/>
  <c r="F249" i="10"/>
  <c r="I248" i="10"/>
  <c r="J162" i="8"/>
  <c r="I162" i="8"/>
  <c r="G162" i="8" s="1"/>
  <c r="B147" i="8"/>
  <c r="D148" i="8"/>
  <c r="E148" i="8"/>
  <c r="F250" i="10" l="1"/>
  <c r="I249" i="10"/>
  <c r="I163" i="8"/>
  <c r="G163" i="8" s="1"/>
  <c r="J163" i="8"/>
  <c r="B148" i="8"/>
  <c r="D149" i="8"/>
  <c r="E149" i="8"/>
  <c r="F251" i="10" l="1"/>
  <c r="I250" i="10"/>
  <c r="J164" i="8"/>
  <c r="I164" i="8"/>
  <c r="G164" i="8" s="1"/>
  <c r="B149" i="8"/>
  <c r="D150" i="8"/>
  <c r="G18" i="11" s="1"/>
  <c r="E150" i="8"/>
  <c r="H18" i="11" s="1"/>
  <c r="F252" i="10" l="1"/>
  <c r="I251" i="10"/>
  <c r="J165" i="8"/>
  <c r="I165" i="8"/>
  <c r="G165" i="8" s="1"/>
  <c r="B150" i="8"/>
  <c r="E18" i="11" s="1"/>
  <c r="D151" i="8"/>
  <c r="E151" i="8"/>
  <c r="F253" i="10" l="1"/>
  <c r="I252" i="10"/>
  <c r="I166" i="8"/>
  <c r="G166" i="8" s="1"/>
  <c r="J166" i="8"/>
  <c r="B151" i="8"/>
  <c r="D152" i="8"/>
  <c r="E152" i="8"/>
  <c r="F254" i="10" l="1"/>
  <c r="I253" i="10"/>
  <c r="I167" i="8"/>
  <c r="G167" i="8" s="1"/>
  <c r="J167" i="8"/>
  <c r="B152" i="8"/>
  <c r="D153" i="8"/>
  <c r="E153" i="8"/>
  <c r="F255" i="10" l="1"/>
  <c r="I254" i="10"/>
  <c r="I168" i="8"/>
  <c r="G168" i="8" s="1"/>
  <c r="J168" i="8"/>
  <c r="B153" i="8"/>
  <c r="D154" i="8"/>
  <c r="E154" i="8"/>
  <c r="F256" i="10" l="1"/>
  <c r="I255" i="10"/>
  <c r="I169" i="8"/>
  <c r="G169" i="8" s="1"/>
  <c r="J169" i="8"/>
  <c r="B154" i="8"/>
  <c r="D155" i="8"/>
  <c r="E155" i="8"/>
  <c r="F257" i="10" l="1"/>
  <c r="I256" i="10"/>
  <c r="J170" i="8"/>
  <c r="I170" i="8"/>
  <c r="G170" i="8" s="1"/>
  <c r="B155" i="8"/>
  <c r="D156" i="8"/>
  <c r="E156" i="8"/>
  <c r="F258" i="10" l="1"/>
  <c r="I257" i="10"/>
  <c r="J171" i="8"/>
  <c r="I171" i="8"/>
  <c r="G171" i="8" s="1"/>
  <c r="B156" i="8"/>
  <c r="D157" i="8"/>
  <c r="E157" i="8"/>
  <c r="F259" i="10" l="1"/>
  <c r="I258" i="10"/>
  <c r="J172" i="8"/>
  <c r="I172" i="8"/>
  <c r="G172" i="8" s="1"/>
  <c r="B157" i="8"/>
  <c r="D158" i="8"/>
  <c r="E158" i="8"/>
  <c r="F260" i="10" l="1"/>
  <c r="I259" i="10"/>
  <c r="I27" i="11"/>
  <c r="I173" i="8"/>
  <c r="G173" i="8" s="1"/>
  <c r="J173" i="8"/>
  <c r="B158" i="8"/>
  <c r="D159" i="8"/>
  <c r="E159" i="8"/>
  <c r="L27" i="11" l="1"/>
  <c r="F261" i="10"/>
  <c r="I260" i="10"/>
  <c r="J174" i="8"/>
  <c r="I174" i="8"/>
  <c r="G174" i="8" s="1"/>
  <c r="B159" i="8"/>
  <c r="D160" i="8"/>
  <c r="E160" i="8"/>
  <c r="F262" i="10" l="1"/>
  <c r="I261" i="10"/>
  <c r="J175" i="8"/>
  <c r="I175" i="8"/>
  <c r="G175" i="8" s="1"/>
  <c r="B160" i="8"/>
  <c r="D161" i="8"/>
  <c r="E161" i="8"/>
  <c r="F263" i="10" l="1"/>
  <c r="I262" i="10"/>
  <c r="I176" i="8"/>
  <c r="G176" i="8" s="1"/>
  <c r="J176" i="8"/>
  <c r="B161" i="8"/>
  <c r="D162" i="8"/>
  <c r="G19" i="11" s="1"/>
  <c r="E162" i="8"/>
  <c r="H19" i="11" s="1"/>
  <c r="F264" i="10" l="1"/>
  <c r="I263" i="10"/>
  <c r="I177" i="8"/>
  <c r="G177" i="8" s="1"/>
  <c r="J177" i="8"/>
  <c r="B162" i="8"/>
  <c r="E19" i="11" s="1"/>
  <c r="D163" i="8"/>
  <c r="E163" i="8"/>
  <c r="F265" i="10" l="1"/>
  <c r="I264" i="10"/>
  <c r="J178" i="8"/>
  <c r="I178" i="8"/>
  <c r="G178" i="8" s="1"/>
  <c r="B163" i="8"/>
  <c r="D164" i="8"/>
  <c r="E164" i="8"/>
  <c r="F266" i="10" l="1"/>
  <c r="I265" i="10"/>
  <c r="J179" i="8"/>
  <c r="I179" i="8"/>
  <c r="G179" i="8" s="1"/>
  <c r="B164" i="8"/>
  <c r="D165" i="8"/>
  <c r="E165" i="8"/>
  <c r="F267" i="10" l="1"/>
  <c r="I266" i="10"/>
  <c r="I180" i="8"/>
  <c r="G180" i="8" s="1"/>
  <c r="J180" i="8"/>
  <c r="B165" i="8"/>
  <c r="D166" i="8"/>
  <c r="E166" i="8"/>
  <c r="F268" i="10" l="1"/>
  <c r="I267" i="10"/>
  <c r="I181" i="8"/>
  <c r="G181" i="8" s="1"/>
  <c r="J181" i="8"/>
  <c r="B166" i="8"/>
  <c r="D167" i="8"/>
  <c r="E167" i="8"/>
  <c r="F269" i="10" l="1"/>
  <c r="I268" i="10"/>
  <c r="J182" i="8"/>
  <c r="I182" i="8"/>
  <c r="G182" i="8" s="1"/>
  <c r="B167" i="8"/>
  <c r="D168" i="8"/>
  <c r="E168" i="8"/>
  <c r="F270" i="10" l="1"/>
  <c r="I269" i="10"/>
  <c r="I183" i="8"/>
  <c r="G183" i="8" s="1"/>
  <c r="J183" i="8"/>
  <c r="B168" i="8"/>
  <c r="D169" i="8"/>
  <c r="E169" i="8"/>
  <c r="F271" i="10" l="1"/>
  <c r="I270" i="10"/>
  <c r="I184" i="8"/>
  <c r="G184" i="8" s="1"/>
  <c r="J184" i="8"/>
  <c r="B169" i="8"/>
  <c r="D170" i="8"/>
  <c r="E170" i="8"/>
  <c r="F272" i="10" l="1"/>
  <c r="I28" i="11"/>
  <c r="I271" i="10"/>
  <c r="J185" i="8"/>
  <c r="I185" i="8"/>
  <c r="G185" i="8" s="1"/>
  <c r="B170" i="8"/>
  <c r="D171" i="8"/>
  <c r="E171" i="8"/>
  <c r="L28" i="11" l="1"/>
  <c r="F273" i="10"/>
  <c r="I272" i="10"/>
  <c r="I186" i="8"/>
  <c r="G186" i="8" s="1"/>
  <c r="J186" i="8"/>
  <c r="B171" i="8"/>
  <c r="D172" i="8"/>
  <c r="E172" i="8"/>
  <c r="F274" i="10" l="1"/>
  <c r="I273" i="10"/>
  <c r="I187" i="8"/>
  <c r="G187" i="8" s="1"/>
  <c r="J187" i="8"/>
  <c r="B172" i="8"/>
  <c r="D173" i="8"/>
  <c r="E173" i="8"/>
  <c r="F275" i="10" l="1"/>
  <c r="I274" i="10"/>
  <c r="I188" i="8"/>
  <c r="G188" i="8" s="1"/>
  <c r="J188" i="8"/>
  <c r="B173" i="8"/>
  <c r="D174" i="8"/>
  <c r="G20" i="11" s="1"/>
  <c r="E174" i="8"/>
  <c r="H20" i="11" s="1"/>
  <c r="F276" i="10" l="1"/>
  <c r="I275" i="10"/>
  <c r="I189" i="8"/>
  <c r="G189" i="8" s="1"/>
  <c r="J189" i="8"/>
  <c r="B174" i="8"/>
  <c r="E20" i="11" s="1"/>
  <c r="D175" i="8"/>
  <c r="E175" i="8"/>
  <c r="F277" i="10" l="1"/>
  <c r="I276" i="10"/>
  <c r="J190" i="8"/>
  <c r="I190" i="8"/>
  <c r="G190" i="8" s="1"/>
  <c r="B175" i="8"/>
  <c r="D176" i="8"/>
  <c r="E176" i="8"/>
  <c r="F278" i="10" l="1"/>
  <c r="I277" i="10"/>
  <c r="J191" i="8"/>
  <c r="I191" i="8"/>
  <c r="G191" i="8" s="1"/>
  <c r="B176" i="8"/>
  <c r="D177" i="8"/>
  <c r="E177" i="8"/>
  <c r="F279" i="10" l="1"/>
  <c r="I278" i="10"/>
  <c r="J192" i="8"/>
  <c r="I192" i="8"/>
  <c r="G192" i="8" s="1"/>
  <c r="B177" i="8"/>
  <c r="D178" i="8"/>
  <c r="E178" i="8"/>
  <c r="F280" i="10" l="1"/>
  <c r="I279" i="10"/>
  <c r="I193" i="8"/>
  <c r="G193" i="8" s="1"/>
  <c r="J193" i="8"/>
  <c r="B178" i="8"/>
  <c r="D179" i="8"/>
  <c r="E179" i="8"/>
  <c r="F281" i="10" l="1"/>
  <c r="I280" i="10"/>
  <c r="I194" i="8"/>
  <c r="G194" i="8" s="1"/>
  <c r="J194" i="8"/>
  <c r="B179" i="8"/>
  <c r="D180" i="8"/>
  <c r="E180" i="8"/>
  <c r="F282" i="10" l="1"/>
  <c r="I281" i="10"/>
  <c r="I195" i="8"/>
  <c r="G195" i="8" s="1"/>
  <c r="J195" i="8"/>
  <c r="B180" i="8"/>
  <c r="D181" i="8"/>
  <c r="E181" i="8"/>
  <c r="F283" i="10" l="1"/>
  <c r="I282" i="10"/>
  <c r="J196" i="8"/>
  <c r="I196" i="8"/>
  <c r="G196" i="8" s="1"/>
  <c r="B181" i="8"/>
  <c r="D182" i="8"/>
  <c r="E182" i="8"/>
  <c r="F284" i="10" l="1"/>
  <c r="I29" i="11"/>
  <c r="I283" i="10"/>
  <c r="I197" i="8"/>
  <c r="G197" i="8" s="1"/>
  <c r="J197" i="8"/>
  <c r="B182" i="8"/>
  <c r="D183" i="8"/>
  <c r="E183" i="8"/>
  <c r="L29" i="11" l="1"/>
  <c r="F285" i="10"/>
  <c r="I284" i="10"/>
  <c r="I198" i="8"/>
  <c r="G198" i="8" s="1"/>
  <c r="J198" i="8"/>
  <c r="B183" i="8"/>
  <c r="D184" i="8"/>
  <c r="E184" i="8"/>
  <c r="F286" i="10" l="1"/>
  <c r="I285" i="10"/>
  <c r="J199" i="8"/>
  <c r="I199" i="8"/>
  <c r="G199" i="8" s="1"/>
  <c r="B184" i="8"/>
  <c r="D185" i="8"/>
  <c r="E185" i="8"/>
  <c r="F287" i="10" l="1"/>
  <c r="I286" i="10"/>
  <c r="I200" i="8"/>
  <c r="G200" i="8" s="1"/>
  <c r="J200" i="8"/>
  <c r="B185" i="8"/>
  <c r="D186" i="8"/>
  <c r="G21" i="11" s="1"/>
  <c r="E186" i="8"/>
  <c r="H21" i="11" s="1"/>
  <c r="F288" i="10" l="1"/>
  <c r="I287" i="10"/>
  <c r="J201" i="8"/>
  <c r="I201" i="8"/>
  <c r="G201" i="8" s="1"/>
  <c r="D187" i="8"/>
  <c r="E187" i="8"/>
  <c r="B186" i="8"/>
  <c r="E21" i="11" s="1"/>
  <c r="F289" i="10" l="1"/>
  <c r="I288" i="10"/>
  <c r="I202" i="8"/>
  <c r="G202" i="8" s="1"/>
  <c r="J202" i="8"/>
  <c r="B187" i="8"/>
  <c r="D188" i="8"/>
  <c r="E188" i="8"/>
  <c r="F290" i="10" l="1"/>
  <c r="I289" i="10"/>
  <c r="I203" i="8"/>
  <c r="G203" i="8" s="1"/>
  <c r="J203" i="8"/>
  <c r="B188" i="8"/>
  <c r="D189" i="8"/>
  <c r="E189" i="8"/>
  <c r="F291" i="10" l="1"/>
  <c r="I290" i="10"/>
  <c r="I204" i="8"/>
  <c r="G204" i="8" s="1"/>
  <c r="J204" i="8"/>
  <c r="B189" i="8"/>
  <c r="D190" i="8"/>
  <c r="E190" i="8"/>
  <c r="F292" i="10" l="1"/>
  <c r="I291" i="10"/>
  <c r="I205" i="8"/>
  <c r="G205" i="8" s="1"/>
  <c r="J205" i="8"/>
  <c r="B190" i="8"/>
  <c r="D191" i="8"/>
  <c r="E191" i="8"/>
  <c r="F293" i="10" l="1"/>
  <c r="I292" i="10"/>
  <c r="J206" i="8"/>
  <c r="I206" i="8"/>
  <c r="G206" i="8" s="1"/>
  <c r="B191" i="8"/>
  <c r="D192" i="8"/>
  <c r="E192" i="8"/>
  <c r="F294" i="10" l="1"/>
  <c r="I293" i="10"/>
  <c r="I207" i="8"/>
  <c r="G207" i="8" s="1"/>
  <c r="J207" i="8"/>
  <c r="B192" i="8"/>
  <c r="D193" i="8"/>
  <c r="E193" i="8"/>
  <c r="F295" i="10" l="1"/>
  <c r="I294" i="10"/>
  <c r="I208" i="8"/>
  <c r="G208" i="8" s="1"/>
  <c r="J208" i="8"/>
  <c r="B193" i="8"/>
  <c r="D194" i="8"/>
  <c r="E194" i="8"/>
  <c r="F296" i="10" l="1"/>
  <c r="I295" i="10"/>
  <c r="I30" i="11"/>
  <c r="J209" i="8"/>
  <c r="I209" i="8"/>
  <c r="G209" i="8" s="1"/>
  <c r="B194" i="8"/>
  <c r="D195" i="8"/>
  <c r="E195" i="8"/>
  <c r="L30" i="11" l="1"/>
  <c r="F297" i="10"/>
  <c r="I296" i="10"/>
  <c r="I210" i="8"/>
  <c r="G210" i="8" s="1"/>
  <c r="J210" i="8"/>
  <c r="B195" i="8"/>
  <c r="D196" i="8"/>
  <c r="E196" i="8"/>
  <c r="F298" i="10" l="1"/>
  <c r="I297" i="10"/>
  <c r="J211" i="8"/>
  <c r="I211" i="8"/>
  <c r="G211" i="8" s="1"/>
  <c r="B196" i="8"/>
  <c r="D197" i="8"/>
  <c r="E197" i="8"/>
  <c r="F299" i="10" l="1"/>
  <c r="I298" i="10"/>
  <c r="J212" i="8"/>
  <c r="I212" i="8"/>
  <c r="G212" i="8" s="1"/>
  <c r="B197" i="8"/>
  <c r="E198" i="8"/>
  <c r="H22" i="11" s="1"/>
  <c r="D198" i="8"/>
  <c r="G22" i="11" s="1"/>
  <c r="F300" i="10" l="1"/>
  <c r="I299" i="10"/>
  <c r="I213" i="8"/>
  <c r="G213" i="8" s="1"/>
  <c r="J213" i="8"/>
  <c r="B198" i="8"/>
  <c r="E22" i="11" s="1"/>
  <c r="E199" i="8"/>
  <c r="D199" i="8"/>
  <c r="F301" i="10" l="1"/>
  <c r="I300" i="10"/>
  <c r="I214" i="8"/>
  <c r="G214" i="8" s="1"/>
  <c r="J214" i="8"/>
  <c r="B199" i="8"/>
  <c r="E200" i="8"/>
  <c r="D200" i="8"/>
  <c r="F302" i="10" l="1"/>
  <c r="I301" i="10"/>
  <c r="I215" i="8"/>
  <c r="G215" i="8" s="1"/>
  <c r="J215" i="8"/>
  <c r="B200" i="8"/>
  <c r="D201" i="8"/>
  <c r="E201" i="8"/>
  <c r="F303" i="10" l="1"/>
  <c r="I302" i="10"/>
  <c r="I216" i="8"/>
  <c r="G216" i="8" s="1"/>
  <c r="J216" i="8"/>
  <c r="B201" i="8"/>
  <c r="D202" i="8"/>
  <c r="E202" i="8"/>
  <c r="F304" i="10" l="1"/>
  <c r="I303" i="10"/>
  <c r="J217" i="8"/>
  <c r="I217" i="8"/>
  <c r="G217" i="8" s="1"/>
  <c r="B202" i="8"/>
  <c r="E203" i="8"/>
  <c r="D203" i="8"/>
  <c r="F305" i="10" l="1"/>
  <c r="I304" i="10"/>
  <c r="I218" i="8"/>
  <c r="G218" i="8" s="1"/>
  <c r="J218" i="8"/>
  <c r="B203" i="8"/>
  <c r="D204" i="8"/>
  <c r="E204" i="8"/>
  <c r="F306" i="10" l="1"/>
  <c r="I305" i="10"/>
  <c r="J219" i="8"/>
  <c r="I219" i="8"/>
  <c r="G219" i="8" s="1"/>
  <c r="B204" i="8"/>
  <c r="D205" i="8"/>
  <c r="E205" i="8"/>
  <c r="F307" i="10" l="1"/>
  <c r="I306" i="10"/>
  <c r="I220" i="8"/>
  <c r="G220" i="8" s="1"/>
  <c r="J220" i="8"/>
  <c r="B205" i="8"/>
  <c r="E206" i="8"/>
  <c r="D206" i="8"/>
  <c r="F308" i="10" l="1"/>
  <c r="I307" i="10"/>
  <c r="I31" i="11"/>
  <c r="J221" i="8"/>
  <c r="I221" i="8"/>
  <c r="G221" i="8" s="1"/>
  <c r="B206" i="8"/>
  <c r="D207" i="8"/>
  <c r="E207" i="8"/>
  <c r="L31" i="11" l="1"/>
  <c r="F309" i="10"/>
  <c r="I308" i="10"/>
  <c r="I222" i="8"/>
  <c r="G222" i="8" s="1"/>
  <c r="J222" i="8"/>
  <c r="B207" i="8"/>
  <c r="E208" i="8"/>
  <c r="D208" i="8"/>
  <c r="F310" i="10" l="1"/>
  <c r="I309" i="10"/>
  <c r="J223" i="8"/>
  <c r="I223" i="8"/>
  <c r="G223" i="8" s="1"/>
  <c r="B208" i="8"/>
  <c r="D209" i="8"/>
  <c r="E209" i="8"/>
  <c r="F311" i="10" l="1"/>
  <c r="I310" i="10"/>
  <c r="I224" i="8"/>
  <c r="G224" i="8" s="1"/>
  <c r="J224" i="8"/>
  <c r="B209" i="8"/>
  <c r="D210" i="8"/>
  <c r="G23" i="11" s="1"/>
  <c r="E210" i="8"/>
  <c r="H23" i="11" s="1"/>
  <c r="F312" i="10" l="1"/>
  <c r="I311" i="10"/>
  <c r="I225" i="8"/>
  <c r="G225" i="8" s="1"/>
  <c r="J225" i="8"/>
  <c r="B210" i="8"/>
  <c r="E23" i="11" s="1"/>
  <c r="D211" i="8"/>
  <c r="E211" i="8"/>
  <c r="F313" i="10" l="1"/>
  <c r="I312" i="10"/>
  <c r="J226" i="8"/>
  <c r="I226" i="8"/>
  <c r="G226" i="8" s="1"/>
  <c r="B211" i="8"/>
  <c r="D212" i="8"/>
  <c r="E212" i="8"/>
  <c r="F314" i="10" l="1"/>
  <c r="I313" i="10"/>
  <c r="J227" i="8"/>
  <c r="I227" i="8"/>
  <c r="G227" i="8" s="1"/>
  <c r="B212" i="8"/>
  <c r="E213" i="8"/>
  <c r="D214" i="8" s="1"/>
  <c r="D213" i="8"/>
  <c r="F315" i="10" l="1"/>
  <c r="I314" i="10"/>
  <c r="I228" i="8"/>
  <c r="G228" i="8" s="1"/>
  <c r="J228" i="8"/>
  <c r="B213" i="8"/>
  <c r="E214" i="8"/>
  <c r="F316" i="10" l="1"/>
  <c r="I315" i="10"/>
  <c r="I229" i="8"/>
  <c r="G229" i="8" s="1"/>
  <c r="J229" i="8"/>
  <c r="B214" i="8"/>
  <c r="E215" i="8"/>
  <c r="D215" i="8"/>
  <c r="F317" i="10" l="1"/>
  <c r="I316" i="10"/>
  <c r="I230" i="8"/>
  <c r="G230" i="8" s="1"/>
  <c r="J230" i="8"/>
  <c r="B215" i="8"/>
  <c r="D216" i="8"/>
  <c r="E216" i="8"/>
  <c r="F318" i="10" l="1"/>
  <c r="I317" i="10"/>
  <c r="I231" i="8"/>
  <c r="G231" i="8" s="1"/>
  <c r="J231" i="8"/>
  <c r="B216" i="8"/>
  <c r="E217" i="8"/>
  <c r="D217" i="8"/>
  <c r="F319" i="10" l="1"/>
  <c r="I318" i="10"/>
  <c r="I232" i="8"/>
  <c r="G232" i="8" s="1"/>
  <c r="J232" i="8"/>
  <c r="B217" i="8"/>
  <c r="D218" i="8"/>
  <c r="E218" i="8"/>
  <c r="F320" i="10" l="1"/>
  <c r="I32" i="11"/>
  <c r="I319" i="10"/>
  <c r="I233" i="8"/>
  <c r="G233" i="8" s="1"/>
  <c r="J233" i="8"/>
  <c r="B218" i="8"/>
  <c r="D219" i="8"/>
  <c r="E219" i="8"/>
  <c r="L32" i="11" l="1"/>
  <c r="F321" i="10"/>
  <c r="I320" i="10"/>
  <c r="J234" i="8"/>
  <c r="I234" i="8"/>
  <c r="G234" i="8" s="1"/>
  <c r="B219" i="8"/>
  <c r="D220" i="8"/>
  <c r="E220" i="8"/>
  <c r="F322" i="10" l="1"/>
  <c r="I321" i="10"/>
  <c r="J235" i="8"/>
  <c r="I235" i="8"/>
  <c r="G235" i="8" s="1"/>
  <c r="B220" i="8"/>
  <c r="D221" i="8"/>
  <c r="E221" i="8"/>
  <c r="F323" i="10" l="1"/>
  <c r="I322" i="10"/>
  <c r="I236" i="8"/>
  <c r="G236" i="8" s="1"/>
  <c r="J236" i="8"/>
  <c r="B221" i="8"/>
  <c r="E222" i="8"/>
  <c r="H24" i="11" s="1"/>
  <c r="D222" i="8"/>
  <c r="G24" i="11" s="1"/>
  <c r="F324" i="10" l="1"/>
  <c r="I323" i="10"/>
  <c r="J237" i="8"/>
  <c r="I237" i="8"/>
  <c r="G237" i="8" s="1"/>
  <c r="B222" i="8"/>
  <c r="E24" i="11" s="1"/>
  <c r="E223" i="8"/>
  <c r="D223" i="8"/>
  <c r="F325" i="10" l="1"/>
  <c r="I324" i="10"/>
  <c r="I238" i="8"/>
  <c r="G238" i="8" s="1"/>
  <c r="J238" i="8"/>
  <c r="B223" i="8"/>
  <c r="D224" i="8"/>
  <c r="E224" i="8"/>
  <c r="F326" i="10" l="1"/>
  <c r="I325" i="10"/>
  <c r="I239" i="8"/>
  <c r="G239" i="8" s="1"/>
  <c r="J239" i="8"/>
  <c r="B224" i="8"/>
  <c r="D225" i="8"/>
  <c r="E225" i="8"/>
  <c r="F327" i="10" l="1"/>
  <c r="I326" i="10"/>
  <c r="I240" i="8"/>
  <c r="G240" i="8" s="1"/>
  <c r="J240" i="8"/>
  <c r="B225" i="8"/>
  <c r="D226" i="8"/>
  <c r="E226" i="8"/>
  <c r="F328" i="10" l="1"/>
  <c r="I327" i="10"/>
  <c r="I241" i="8"/>
  <c r="G241" i="8" s="1"/>
  <c r="J241" i="8"/>
  <c r="B226" i="8"/>
  <c r="E227" i="8"/>
  <c r="D227" i="8"/>
  <c r="F329" i="10" l="1"/>
  <c r="I328" i="10"/>
  <c r="I242" i="8"/>
  <c r="G242" i="8" s="1"/>
  <c r="J242" i="8"/>
  <c r="B227" i="8"/>
  <c r="D228" i="8"/>
  <c r="E228" i="8"/>
  <c r="F330" i="10" l="1"/>
  <c r="I329" i="10"/>
  <c r="I243" i="8"/>
  <c r="G243" i="8" s="1"/>
  <c r="J243" i="8"/>
  <c r="B228" i="8"/>
  <c r="E229" i="8"/>
  <c r="D229" i="8"/>
  <c r="F331" i="10" l="1"/>
  <c r="I330" i="10"/>
  <c r="I244" i="8"/>
  <c r="G244" i="8" s="1"/>
  <c r="J244" i="8"/>
  <c r="B229" i="8"/>
  <c r="E230" i="8"/>
  <c r="D230" i="8"/>
  <c r="F332" i="10" l="1"/>
  <c r="I33" i="11"/>
  <c r="I331" i="10"/>
  <c r="I245" i="8"/>
  <c r="G245" i="8" s="1"/>
  <c r="J245" i="8"/>
  <c r="B230" i="8"/>
  <c r="D231" i="8"/>
  <c r="E231" i="8"/>
  <c r="L33" i="11" l="1"/>
  <c r="F333" i="10"/>
  <c r="I332" i="10"/>
  <c r="J246" i="8"/>
  <c r="I246" i="8"/>
  <c r="G246" i="8" s="1"/>
  <c r="B231" i="8"/>
  <c r="D232" i="8"/>
  <c r="E232" i="8"/>
  <c r="F334" i="10" l="1"/>
  <c r="I333" i="10"/>
  <c r="J247" i="8"/>
  <c r="I247" i="8"/>
  <c r="G247" i="8" s="1"/>
  <c r="B232" i="8"/>
  <c r="D233" i="8"/>
  <c r="E233" i="8"/>
  <c r="F335" i="10" l="1"/>
  <c r="I334" i="10"/>
  <c r="J248" i="8"/>
  <c r="I248" i="8"/>
  <c r="G248" i="8" s="1"/>
  <c r="B233" i="8"/>
  <c r="D234" i="8"/>
  <c r="G25" i="11" s="1"/>
  <c r="E234" i="8"/>
  <c r="H25" i="11" s="1"/>
  <c r="F336" i="10" l="1"/>
  <c r="I335" i="10"/>
  <c r="I249" i="8"/>
  <c r="G249" i="8" s="1"/>
  <c r="J249" i="8"/>
  <c r="B234" i="8"/>
  <c r="E25" i="11" s="1"/>
  <c r="D235" i="8"/>
  <c r="E235" i="8"/>
  <c r="F337" i="10" l="1"/>
  <c r="I336" i="10"/>
  <c r="I250" i="8"/>
  <c r="G250" i="8" s="1"/>
  <c r="J250" i="8"/>
  <c r="B235" i="8"/>
  <c r="D236" i="8"/>
  <c r="E236" i="8"/>
  <c r="F338" i="10" l="1"/>
  <c r="I337" i="10"/>
  <c r="I251" i="8"/>
  <c r="G251" i="8" s="1"/>
  <c r="J251" i="8"/>
  <c r="B236" i="8"/>
  <c r="D237" i="8"/>
  <c r="E237" i="8"/>
  <c r="F339" i="10" l="1"/>
  <c r="I338" i="10"/>
  <c r="I252" i="8"/>
  <c r="G252" i="8" s="1"/>
  <c r="J252" i="8"/>
  <c r="B237" i="8"/>
  <c r="D238" i="8"/>
  <c r="E238" i="8"/>
  <c r="F340" i="10" l="1"/>
  <c r="I339" i="10"/>
  <c r="I253" i="8"/>
  <c r="G253" i="8" s="1"/>
  <c r="J253" i="8"/>
  <c r="B238" i="8"/>
  <c r="D239" i="8"/>
  <c r="E239" i="8"/>
  <c r="F341" i="10" l="1"/>
  <c r="I340" i="10"/>
  <c r="I254" i="8"/>
  <c r="G254" i="8" s="1"/>
  <c r="J254" i="8"/>
  <c r="B239" i="8"/>
  <c r="D240" i="8"/>
  <c r="E240" i="8"/>
  <c r="F342" i="10" l="1"/>
  <c r="I341" i="10"/>
  <c r="J255" i="8"/>
  <c r="I255" i="8"/>
  <c r="B240" i="8"/>
  <c r="D241" i="8"/>
  <c r="E241" i="8"/>
  <c r="F343" i="10" l="1"/>
  <c r="I342" i="10"/>
  <c r="G255" i="8"/>
  <c r="I256" i="8"/>
  <c r="G256" i="8" s="1"/>
  <c r="J256" i="8"/>
  <c r="B241" i="8"/>
  <c r="D242" i="8"/>
  <c r="E242" i="8"/>
  <c r="F344" i="10" l="1"/>
  <c r="I34" i="11"/>
  <c r="I343" i="10"/>
  <c r="I257" i="8"/>
  <c r="J257" i="8"/>
  <c r="B242" i="8"/>
  <c r="D243" i="8"/>
  <c r="E243" i="8"/>
  <c r="L34" i="11" l="1"/>
  <c r="F345" i="10"/>
  <c r="I344" i="10"/>
  <c r="G257" i="8"/>
  <c r="J258" i="8"/>
  <c r="I258" i="8"/>
  <c r="G258" i="8" s="1"/>
  <c r="B243" i="8"/>
  <c r="D244" i="8"/>
  <c r="E244" i="8"/>
  <c r="F346" i="10" l="1"/>
  <c r="I345" i="10"/>
  <c r="J259" i="8"/>
  <c r="I259" i="8"/>
  <c r="B244" i="8"/>
  <c r="E245" i="8"/>
  <c r="D245" i="8"/>
  <c r="F347" i="10" l="1"/>
  <c r="I346" i="10"/>
  <c r="G259" i="8"/>
  <c r="J260" i="8"/>
  <c r="I260" i="8"/>
  <c r="G260" i="8" s="1"/>
  <c r="B245" i="8"/>
  <c r="D246" i="8"/>
  <c r="G26" i="11" s="1"/>
  <c r="E246" i="8"/>
  <c r="H26" i="11" s="1"/>
  <c r="F348" i="10" l="1"/>
  <c r="I347" i="10"/>
  <c r="J261" i="8"/>
  <c r="I261" i="8"/>
  <c r="G261" i="8" s="1"/>
  <c r="B246" i="8"/>
  <c r="E26" i="11" s="1"/>
  <c r="D247" i="8"/>
  <c r="E247" i="8"/>
  <c r="F349" i="10" l="1"/>
  <c r="I348" i="10"/>
  <c r="J262" i="8"/>
  <c r="I262" i="8"/>
  <c r="B247" i="8"/>
  <c r="D248" i="8"/>
  <c r="E248" i="8"/>
  <c r="F350" i="10" l="1"/>
  <c r="I349" i="10"/>
  <c r="G262" i="8"/>
  <c r="J263" i="8"/>
  <c r="I263" i="8"/>
  <c r="G263" i="8" s="1"/>
  <c r="B248" i="8"/>
  <c r="D249" i="8"/>
  <c r="E249" i="8"/>
  <c r="F351" i="10" l="1"/>
  <c r="I350" i="10"/>
  <c r="J264" i="8"/>
  <c r="I264" i="8"/>
  <c r="G264" i="8" s="1"/>
  <c r="B249" i="8"/>
  <c r="D250" i="8"/>
  <c r="E250" i="8"/>
  <c r="F352" i="10" l="1"/>
  <c r="I351" i="10"/>
  <c r="I265" i="8"/>
  <c r="G265" i="8" s="1"/>
  <c r="J265" i="8"/>
  <c r="B250" i="8"/>
  <c r="D251" i="8"/>
  <c r="E251" i="8"/>
  <c r="F353" i="10" l="1"/>
  <c r="I352" i="10"/>
  <c r="J266" i="8"/>
  <c r="I266" i="8"/>
  <c r="G266" i="8" s="1"/>
  <c r="B251" i="8"/>
  <c r="D252" i="8"/>
  <c r="E252" i="8"/>
  <c r="F354" i="10" l="1"/>
  <c r="I353" i="10"/>
  <c r="J267" i="8"/>
  <c r="I267" i="8"/>
  <c r="G267" i="8" s="1"/>
  <c r="B252" i="8"/>
  <c r="D253" i="8"/>
  <c r="E253" i="8"/>
  <c r="F355" i="10" l="1"/>
  <c r="I354" i="10"/>
  <c r="J268" i="8"/>
  <c r="I268" i="8"/>
  <c r="G268" i="8" s="1"/>
  <c r="B253" i="8"/>
  <c r="E254" i="8"/>
  <c r="D254" i="8"/>
  <c r="F356" i="10" l="1"/>
  <c r="I35" i="11"/>
  <c r="I355" i="10"/>
  <c r="J269" i="8"/>
  <c r="I269" i="8"/>
  <c r="G269" i="8" s="1"/>
  <c r="B254" i="8"/>
  <c r="D255" i="8"/>
  <c r="E255" i="8"/>
  <c r="L35" i="11" l="1"/>
  <c r="F357" i="10"/>
  <c r="I356" i="10"/>
  <c r="J270" i="8"/>
  <c r="I270" i="8"/>
  <c r="G270" i="8" s="1"/>
  <c r="B255" i="8"/>
  <c r="E256" i="8"/>
  <c r="D256" i="8"/>
  <c r="F358" i="10" l="1"/>
  <c r="I357" i="10"/>
  <c r="I271" i="8"/>
  <c r="G271" i="8" s="1"/>
  <c r="J271" i="8"/>
  <c r="B256" i="8"/>
  <c r="D257" i="8"/>
  <c r="E257" i="8"/>
  <c r="F359" i="10" l="1"/>
  <c r="I358" i="10"/>
  <c r="J272" i="8"/>
  <c r="I272" i="8"/>
  <c r="G272" i="8" s="1"/>
  <c r="B257" i="8"/>
  <c r="D258" i="8"/>
  <c r="G27" i="11" s="1"/>
  <c r="E258" i="8"/>
  <c r="H27" i="11" s="1"/>
  <c r="F360" i="10" l="1"/>
  <c r="I359" i="10"/>
  <c r="J273" i="8"/>
  <c r="I273" i="8"/>
  <c r="G273" i="8" s="1"/>
  <c r="B258" i="8"/>
  <c r="E27" i="11" s="1"/>
  <c r="E259" i="8"/>
  <c r="D259" i="8"/>
  <c r="F361" i="10" l="1"/>
  <c r="I360" i="10"/>
  <c r="J274" i="8"/>
  <c r="I274" i="8"/>
  <c r="G274" i="8" s="1"/>
  <c r="B259" i="8"/>
  <c r="E260" i="8"/>
  <c r="D260" i="8"/>
  <c r="F362" i="10" l="1"/>
  <c r="I361" i="10"/>
  <c r="J275" i="8"/>
  <c r="I275" i="8"/>
  <c r="G275" i="8" s="1"/>
  <c r="B260" i="8"/>
  <c r="E261" i="8"/>
  <c r="D261" i="8"/>
  <c r="F363" i="10" l="1"/>
  <c r="I362" i="10"/>
  <c r="J276" i="8"/>
  <c r="I276" i="8"/>
  <c r="G276" i="8" s="1"/>
  <c r="B261" i="8"/>
  <c r="D262" i="8"/>
  <c r="E262" i="8"/>
  <c r="F364" i="10" l="1"/>
  <c r="I363" i="10"/>
  <c r="J277" i="8"/>
  <c r="I277" i="8"/>
  <c r="G277" i="8" s="1"/>
  <c r="B262" i="8"/>
  <c r="E263" i="8"/>
  <c r="D263" i="8"/>
  <c r="F365" i="10" l="1"/>
  <c r="I364" i="10"/>
  <c r="J278" i="8"/>
  <c r="I278" i="8"/>
  <c r="G278" i="8" s="1"/>
  <c r="B263" i="8"/>
  <c r="E264" i="8"/>
  <c r="D264" i="8"/>
  <c r="F366" i="10" l="1"/>
  <c r="I365" i="10"/>
  <c r="I279" i="8"/>
  <c r="G279" i="8" s="1"/>
  <c r="J279" i="8"/>
  <c r="B264" i="8"/>
  <c r="E265" i="8"/>
  <c r="D265" i="8"/>
  <c r="F367" i="10" l="1"/>
  <c r="I366" i="10"/>
  <c r="J280" i="8"/>
  <c r="I280" i="8"/>
  <c r="G280" i="8" s="1"/>
  <c r="B265" i="8"/>
  <c r="E266" i="8"/>
  <c r="D266" i="8"/>
  <c r="I367" i="10" l="1"/>
  <c r="I36" i="11"/>
  <c r="J281" i="8"/>
  <c r="I281" i="8"/>
  <c r="G281" i="8" s="1"/>
  <c r="B266" i="8"/>
  <c r="E267" i="8"/>
  <c r="D267" i="8"/>
  <c r="L36" i="11" l="1"/>
  <c r="J282" i="8"/>
  <c r="I282" i="8"/>
  <c r="G282" i="8" s="1"/>
  <c r="B267" i="8"/>
  <c r="E268" i="8"/>
  <c r="D268" i="8"/>
  <c r="I283" i="8" l="1"/>
  <c r="G283" i="8" s="1"/>
  <c r="J283" i="8"/>
  <c r="B268" i="8"/>
  <c r="E269" i="8"/>
  <c r="D269" i="8"/>
  <c r="J284" i="8" l="1"/>
  <c r="I284" i="8"/>
  <c r="G284" i="8" s="1"/>
  <c r="B269" i="8"/>
  <c r="E270" i="8"/>
  <c r="H28" i="11" s="1"/>
  <c r="D270" i="8"/>
  <c r="G28" i="11" s="1"/>
  <c r="J285" i="8" l="1"/>
  <c r="I285" i="8"/>
  <c r="G285" i="8" s="1"/>
  <c r="B270" i="8"/>
  <c r="E28" i="11" s="1"/>
  <c r="E271" i="8"/>
  <c r="D271" i="8"/>
  <c r="J286" i="8" l="1"/>
  <c r="I286" i="8"/>
  <c r="G286" i="8" s="1"/>
  <c r="B271" i="8"/>
  <c r="E272" i="8"/>
  <c r="D272" i="8"/>
  <c r="J287" i="8" l="1"/>
  <c r="I287" i="8"/>
  <c r="G287" i="8" s="1"/>
  <c r="B272" i="8"/>
  <c r="E273" i="8"/>
  <c r="D273" i="8"/>
  <c r="J288" i="8" l="1"/>
  <c r="I288" i="8"/>
  <c r="G288" i="8" s="1"/>
  <c r="B273" i="8"/>
  <c r="E274" i="8"/>
  <c r="D274" i="8"/>
  <c r="J289" i="8" l="1"/>
  <c r="I289" i="8"/>
  <c r="G289" i="8" s="1"/>
  <c r="B274" i="8"/>
  <c r="E275" i="8"/>
  <c r="D275" i="8"/>
  <c r="J290" i="8" l="1"/>
  <c r="I290" i="8"/>
  <c r="G290" i="8" s="1"/>
  <c r="B275" i="8"/>
  <c r="E276" i="8"/>
  <c r="D276" i="8"/>
  <c r="J291" i="8" l="1"/>
  <c r="I291" i="8"/>
  <c r="G291" i="8" s="1"/>
  <c r="B276" i="8"/>
  <c r="E277" i="8"/>
  <c r="D277" i="8"/>
  <c r="J292" i="8" l="1"/>
  <c r="I292" i="8"/>
  <c r="G292" i="8" s="1"/>
  <c r="B277" i="8"/>
  <c r="E278" i="8"/>
  <c r="D278" i="8"/>
  <c r="J293" i="8" l="1"/>
  <c r="I293" i="8"/>
  <c r="G293" i="8" s="1"/>
  <c r="B278" i="8"/>
  <c r="E279" i="8"/>
  <c r="D279" i="8"/>
  <c r="J294" i="8" l="1"/>
  <c r="I294" i="8"/>
  <c r="G294" i="8" s="1"/>
  <c r="B279" i="8"/>
  <c r="E280" i="8"/>
  <c r="D280" i="8"/>
  <c r="J295" i="8" l="1"/>
  <c r="I295" i="8"/>
  <c r="G295" i="8" s="1"/>
  <c r="B280" i="8"/>
  <c r="E281" i="8"/>
  <c r="D281" i="8"/>
  <c r="J296" i="8" l="1"/>
  <c r="I296" i="8"/>
  <c r="G296" i="8" s="1"/>
  <c r="B281" i="8"/>
  <c r="E282" i="8"/>
  <c r="H29" i="11" s="1"/>
  <c r="D282" i="8"/>
  <c r="G29" i="11" s="1"/>
  <c r="J297" i="8" l="1"/>
  <c r="I297" i="8"/>
  <c r="G297" i="8" s="1"/>
  <c r="B282" i="8"/>
  <c r="E29" i="11" s="1"/>
  <c r="E283" i="8"/>
  <c r="D283" i="8"/>
  <c r="J298" i="8" l="1"/>
  <c r="I298" i="8"/>
  <c r="G298" i="8" s="1"/>
  <c r="B283" i="8"/>
  <c r="E284" i="8"/>
  <c r="D284" i="8"/>
  <c r="J299" i="8" l="1"/>
  <c r="I299" i="8"/>
  <c r="G299" i="8" s="1"/>
  <c r="B284" i="8"/>
  <c r="D285" i="8"/>
  <c r="E285" i="8"/>
  <c r="J300" i="8" l="1"/>
  <c r="I300" i="8"/>
  <c r="G300" i="8" s="1"/>
  <c r="B285" i="8"/>
  <c r="E286" i="8"/>
  <c r="D286" i="8"/>
  <c r="J301" i="8" l="1"/>
  <c r="I301" i="8"/>
  <c r="G301" i="8" s="1"/>
  <c r="B286" i="8"/>
  <c r="E287" i="8"/>
  <c r="D287" i="8"/>
  <c r="J302" i="8" l="1"/>
  <c r="I302" i="8"/>
  <c r="G302" i="8" s="1"/>
  <c r="B287" i="8"/>
  <c r="E288" i="8"/>
  <c r="D288" i="8"/>
  <c r="J303" i="8" l="1"/>
  <c r="I303" i="8"/>
  <c r="G303" i="8" s="1"/>
  <c r="B288" i="8"/>
  <c r="E289" i="8"/>
  <c r="D289" i="8"/>
  <c r="I304" i="8" l="1"/>
  <c r="G304" i="8" s="1"/>
  <c r="J304" i="8"/>
  <c r="B289" i="8"/>
  <c r="E290" i="8"/>
  <c r="D290" i="8"/>
  <c r="J305" i="8" l="1"/>
  <c r="I305" i="8"/>
  <c r="G305" i="8" s="1"/>
  <c r="B290" i="8"/>
  <c r="E291" i="8"/>
  <c r="D291" i="8"/>
  <c r="J306" i="8" l="1"/>
  <c r="I306" i="8"/>
  <c r="G306" i="8" s="1"/>
  <c r="B291" i="8"/>
  <c r="E292" i="8"/>
  <c r="D292" i="8"/>
  <c r="I307" i="8" l="1"/>
  <c r="G307" i="8" s="1"/>
  <c r="J307" i="8"/>
  <c r="B292" i="8"/>
  <c r="E293" i="8"/>
  <c r="D293" i="8"/>
  <c r="J308" i="8" l="1"/>
  <c r="I308" i="8"/>
  <c r="G308" i="8" s="1"/>
  <c r="B293" i="8"/>
  <c r="E294" i="8"/>
  <c r="H30" i="11" s="1"/>
  <c r="D294" i="8"/>
  <c r="G30" i="11" s="1"/>
  <c r="J309" i="8" l="1"/>
  <c r="I309" i="8"/>
  <c r="G309" i="8" s="1"/>
  <c r="B294" i="8"/>
  <c r="E30" i="11" s="1"/>
  <c r="E295" i="8"/>
  <c r="D295" i="8"/>
  <c r="J310" i="8" l="1"/>
  <c r="I310" i="8"/>
  <c r="G310" i="8" s="1"/>
  <c r="B295" i="8"/>
  <c r="E296" i="8"/>
  <c r="D296" i="8"/>
  <c r="J311" i="8" l="1"/>
  <c r="I311" i="8"/>
  <c r="G311" i="8" s="1"/>
  <c r="B296" i="8"/>
  <c r="E297" i="8"/>
  <c r="D297" i="8"/>
  <c r="J312" i="8" l="1"/>
  <c r="I312" i="8"/>
  <c r="G312" i="8" s="1"/>
  <c r="B297" i="8"/>
  <c r="E298" i="8"/>
  <c r="D298" i="8"/>
  <c r="J313" i="8" l="1"/>
  <c r="I313" i="8"/>
  <c r="G313" i="8" s="1"/>
  <c r="B298" i="8"/>
  <c r="E299" i="8"/>
  <c r="D299" i="8"/>
  <c r="J314" i="8" l="1"/>
  <c r="I314" i="8"/>
  <c r="G314" i="8" s="1"/>
  <c r="B299" i="8"/>
  <c r="E300" i="8"/>
  <c r="D300" i="8"/>
  <c r="I315" i="8" l="1"/>
  <c r="G315" i="8" s="1"/>
  <c r="J315" i="8"/>
  <c r="B300" i="8"/>
  <c r="D301" i="8"/>
  <c r="E301" i="8"/>
  <c r="I316" i="8" l="1"/>
  <c r="G316" i="8" s="1"/>
  <c r="J316" i="8"/>
  <c r="B301" i="8"/>
  <c r="E302" i="8"/>
  <c r="D302" i="8"/>
  <c r="J317" i="8" l="1"/>
  <c r="I317" i="8"/>
  <c r="G317" i="8" s="1"/>
  <c r="B302" i="8"/>
  <c r="E303" i="8"/>
  <c r="D303" i="8"/>
  <c r="I318" i="8" l="1"/>
  <c r="G318" i="8" s="1"/>
  <c r="J318" i="8"/>
  <c r="B303" i="8"/>
  <c r="E304" i="8"/>
  <c r="D304" i="8"/>
  <c r="J319" i="8" l="1"/>
  <c r="I319" i="8"/>
  <c r="G319" i="8" s="1"/>
  <c r="B304" i="8"/>
  <c r="E305" i="8"/>
  <c r="D305" i="8"/>
  <c r="I320" i="8" l="1"/>
  <c r="G320" i="8" s="1"/>
  <c r="J320" i="8"/>
  <c r="B305" i="8"/>
  <c r="E306" i="8"/>
  <c r="H31" i="11" s="1"/>
  <c r="D306" i="8"/>
  <c r="G31" i="11" s="1"/>
  <c r="J321" i="8" l="1"/>
  <c r="I321" i="8"/>
  <c r="G321" i="8" s="1"/>
  <c r="B306" i="8"/>
  <c r="E31" i="11" s="1"/>
  <c r="E307" i="8"/>
  <c r="D307" i="8"/>
  <c r="I322" i="8" l="1"/>
  <c r="G322" i="8" s="1"/>
  <c r="J322" i="8"/>
  <c r="B307" i="8"/>
  <c r="E308" i="8"/>
  <c r="D308" i="8"/>
  <c r="J323" i="8" l="1"/>
  <c r="I323" i="8"/>
  <c r="G323" i="8" s="1"/>
  <c r="B308" i="8"/>
  <c r="E309" i="8"/>
  <c r="D309" i="8"/>
  <c r="I324" i="8" l="1"/>
  <c r="G324" i="8" s="1"/>
  <c r="J324" i="8"/>
  <c r="B309" i="8"/>
  <c r="E310" i="8"/>
  <c r="D310" i="8"/>
  <c r="J325" i="8" l="1"/>
  <c r="I325" i="8"/>
  <c r="G325" i="8" s="1"/>
  <c r="B310" i="8"/>
  <c r="E311" i="8"/>
  <c r="D311" i="8"/>
  <c r="J326" i="8" l="1"/>
  <c r="I326" i="8"/>
  <c r="G326" i="8" s="1"/>
  <c r="B311" i="8"/>
  <c r="E312" i="8"/>
  <c r="D312" i="8"/>
  <c r="I327" i="8" l="1"/>
  <c r="G327" i="8" s="1"/>
  <c r="J327" i="8"/>
  <c r="B312" i="8"/>
  <c r="E313" i="8"/>
  <c r="D313" i="8"/>
  <c r="I328" i="8" l="1"/>
  <c r="G328" i="8" s="1"/>
  <c r="J328" i="8"/>
  <c r="B313" i="8"/>
  <c r="E314" i="8"/>
  <c r="D314" i="8"/>
  <c r="J329" i="8" l="1"/>
  <c r="I329" i="8"/>
  <c r="G329" i="8" s="1"/>
  <c r="B314" i="8"/>
  <c r="E315" i="8"/>
  <c r="D315" i="8"/>
  <c r="I330" i="8" l="1"/>
  <c r="G330" i="8" s="1"/>
  <c r="J330" i="8"/>
  <c r="B315" i="8"/>
  <c r="E316" i="8"/>
  <c r="D316" i="8"/>
  <c r="I331" i="8" l="1"/>
  <c r="G331" i="8" s="1"/>
  <c r="J331" i="8"/>
  <c r="B316" i="8"/>
  <c r="E317" i="8"/>
  <c r="D317" i="8"/>
  <c r="I332" i="8" l="1"/>
  <c r="G332" i="8" s="1"/>
  <c r="J332" i="8"/>
  <c r="B317" i="8"/>
  <c r="E318" i="8"/>
  <c r="H32" i="11" s="1"/>
  <c r="D318" i="8"/>
  <c r="G32" i="11" s="1"/>
  <c r="I333" i="8" l="1"/>
  <c r="G333" i="8" s="1"/>
  <c r="J333" i="8"/>
  <c r="B318" i="8"/>
  <c r="E32" i="11" s="1"/>
  <c r="E319" i="8"/>
  <c r="D319" i="8"/>
  <c r="J334" i="8" l="1"/>
  <c r="I334" i="8"/>
  <c r="G334" i="8" s="1"/>
  <c r="B319" i="8"/>
  <c r="E320" i="8"/>
  <c r="D320" i="8"/>
  <c r="I335" i="8" l="1"/>
  <c r="G335" i="8" s="1"/>
  <c r="J335" i="8"/>
  <c r="B320" i="8"/>
  <c r="E321" i="8"/>
  <c r="D321" i="8"/>
  <c r="I336" i="8" l="1"/>
  <c r="G336" i="8" s="1"/>
  <c r="J336" i="8"/>
  <c r="B321" i="8"/>
  <c r="D322" i="8"/>
  <c r="E322" i="8"/>
  <c r="J337" i="8" l="1"/>
  <c r="I337" i="8"/>
  <c r="G337" i="8" s="1"/>
  <c r="B322" i="8"/>
  <c r="E323" i="8"/>
  <c r="D323" i="8"/>
  <c r="I338" i="8" l="1"/>
  <c r="G338" i="8" s="1"/>
  <c r="J338" i="8"/>
  <c r="B323" i="8"/>
  <c r="E324" i="8"/>
  <c r="D324" i="8"/>
  <c r="J339" i="8" l="1"/>
  <c r="I339" i="8"/>
  <c r="G339" i="8" s="1"/>
  <c r="B324" i="8"/>
  <c r="E325" i="8"/>
  <c r="D325" i="8"/>
  <c r="I340" i="8" l="1"/>
  <c r="G340" i="8" s="1"/>
  <c r="J340" i="8"/>
  <c r="B325" i="8"/>
  <c r="E326" i="8"/>
  <c r="D326" i="8"/>
  <c r="I341" i="8" l="1"/>
  <c r="G341" i="8" s="1"/>
  <c r="J341" i="8"/>
  <c r="B326" i="8"/>
  <c r="E327" i="8"/>
  <c r="D327" i="8"/>
  <c r="I342" i="8" l="1"/>
  <c r="G342" i="8" s="1"/>
  <c r="J342" i="8"/>
  <c r="B327" i="8"/>
  <c r="E328" i="8"/>
  <c r="D328" i="8"/>
  <c r="I343" i="8" l="1"/>
  <c r="G343" i="8" s="1"/>
  <c r="J343" i="8"/>
  <c r="B328" i="8"/>
  <c r="D329" i="8"/>
  <c r="E329" i="8"/>
  <c r="I344" i="8" l="1"/>
  <c r="G344" i="8" s="1"/>
  <c r="J344" i="8"/>
  <c r="B329" i="8"/>
  <c r="E330" i="8"/>
  <c r="H33" i="11" s="1"/>
  <c r="D330" i="8"/>
  <c r="G33" i="11" s="1"/>
  <c r="I345" i="8" l="1"/>
  <c r="G345" i="8" s="1"/>
  <c r="J345" i="8"/>
  <c r="B330" i="8"/>
  <c r="E33" i="11" s="1"/>
  <c r="D331" i="8"/>
  <c r="E331" i="8"/>
  <c r="J346" i="8" l="1"/>
  <c r="I346" i="8"/>
  <c r="G346" i="8" s="1"/>
  <c r="B331" i="8"/>
  <c r="E332" i="8"/>
  <c r="D332" i="8"/>
  <c r="I347" i="8" l="1"/>
  <c r="G347" i="8" s="1"/>
  <c r="J347" i="8"/>
  <c r="B332" i="8"/>
  <c r="E333" i="8"/>
  <c r="D333" i="8"/>
  <c r="I348" i="8" l="1"/>
  <c r="G348" i="8" s="1"/>
  <c r="J348" i="8"/>
  <c r="B333" i="8"/>
  <c r="E334" i="8"/>
  <c r="D334" i="8"/>
  <c r="J349" i="8" l="1"/>
  <c r="I349" i="8"/>
  <c r="G349" i="8" s="1"/>
  <c r="B334" i="8"/>
  <c r="E335" i="8"/>
  <c r="D335" i="8"/>
  <c r="I350" i="8" l="1"/>
  <c r="G350" i="8" s="1"/>
  <c r="J350" i="8"/>
  <c r="B335" i="8"/>
  <c r="E336" i="8"/>
  <c r="D336" i="8"/>
  <c r="I351" i="8" l="1"/>
  <c r="G351" i="8" s="1"/>
  <c r="J351" i="8"/>
  <c r="B336" i="8"/>
  <c r="E337" i="8"/>
  <c r="D337" i="8"/>
  <c r="I352" i="8" l="1"/>
  <c r="G352" i="8" s="1"/>
  <c r="J352" i="8"/>
  <c r="B337" i="8"/>
  <c r="D338" i="8"/>
  <c r="E338" i="8"/>
  <c r="J353" i="8" l="1"/>
  <c r="I353" i="8"/>
  <c r="G353" i="8" s="1"/>
  <c r="B338" i="8"/>
  <c r="E339" i="8"/>
  <c r="D339" i="8"/>
  <c r="I354" i="8" l="1"/>
  <c r="G354" i="8" s="1"/>
  <c r="J354" i="8"/>
  <c r="B339" i="8"/>
  <c r="D340" i="8"/>
  <c r="E340" i="8"/>
  <c r="I355" i="8" l="1"/>
  <c r="G355" i="8" s="1"/>
  <c r="J355" i="8"/>
  <c r="B340" i="8"/>
  <c r="D341" i="8"/>
  <c r="E341" i="8"/>
  <c r="J356" i="8" l="1"/>
  <c r="I356" i="8"/>
  <c r="G356" i="8" s="1"/>
  <c r="B341" i="8"/>
  <c r="D342" i="8"/>
  <c r="G34" i="11" s="1"/>
  <c r="E342" i="8"/>
  <c r="H34" i="11" s="1"/>
  <c r="I357" i="8" l="1"/>
  <c r="G357" i="8" s="1"/>
  <c r="J357" i="8"/>
  <c r="B342" i="8"/>
  <c r="E34" i="11" s="1"/>
  <c r="D343" i="8"/>
  <c r="E343" i="8"/>
  <c r="I358" i="8" l="1"/>
  <c r="G358" i="8" s="1"/>
  <c r="J358" i="8"/>
  <c r="B343" i="8"/>
  <c r="D344" i="8"/>
  <c r="E344" i="8"/>
  <c r="I359" i="8" l="1"/>
  <c r="G359" i="8" s="1"/>
  <c r="J359" i="8"/>
  <c r="B344" i="8"/>
  <c r="D345" i="8"/>
  <c r="E345" i="8"/>
  <c r="I360" i="8" l="1"/>
  <c r="G360" i="8" s="1"/>
  <c r="J360" i="8"/>
  <c r="B345" i="8"/>
  <c r="D346" i="8"/>
  <c r="E346" i="8"/>
  <c r="I361" i="8" l="1"/>
  <c r="G361" i="8" s="1"/>
  <c r="J361" i="8"/>
  <c r="B346" i="8"/>
  <c r="D347" i="8"/>
  <c r="E347" i="8"/>
  <c r="J362" i="8" l="1"/>
  <c r="I362" i="8"/>
  <c r="G362" i="8" s="1"/>
  <c r="B347" i="8"/>
  <c r="D348" i="8"/>
  <c r="E348" i="8"/>
  <c r="I363" i="8" l="1"/>
  <c r="G363" i="8" s="1"/>
  <c r="J363" i="8"/>
  <c r="B348" i="8"/>
  <c r="D349" i="8"/>
  <c r="E349" i="8"/>
  <c r="J364" i="8" l="1"/>
  <c r="I364" i="8"/>
  <c r="G364" i="8" s="1"/>
  <c r="B349" i="8"/>
  <c r="D350" i="8"/>
  <c r="E350" i="8"/>
  <c r="I365" i="8" l="1"/>
  <c r="G365" i="8" s="1"/>
  <c r="J365" i="8"/>
  <c r="B350" i="8"/>
  <c r="D351" i="8"/>
  <c r="E351" i="8"/>
  <c r="I366" i="8" l="1"/>
  <c r="J366" i="8"/>
  <c r="B351" i="8"/>
  <c r="D352" i="8"/>
  <c r="E352" i="8"/>
  <c r="G366" i="8" l="1"/>
  <c r="I367" i="8"/>
  <c r="H368" i="8" s="1"/>
  <c r="B352" i="8"/>
  <c r="D353" i="8"/>
  <c r="E353" i="8"/>
  <c r="B353" i="8" l="1"/>
  <c r="D354" i="8"/>
  <c r="G35" i="11" s="1"/>
  <c r="E354" i="8"/>
  <c r="H35" i="11" s="1"/>
  <c r="B354" i="8" l="1"/>
  <c r="E35" i="11" s="1"/>
  <c r="E355" i="8"/>
  <c r="D355" i="8"/>
  <c r="B355" i="8" l="1"/>
  <c r="D356" i="8"/>
  <c r="E356" i="8"/>
  <c r="B356" i="8" l="1"/>
  <c r="D357" i="8"/>
  <c r="E357" i="8"/>
  <c r="B357" i="8" l="1"/>
  <c r="D358" i="8"/>
  <c r="E358" i="8"/>
  <c r="B358" i="8" l="1"/>
  <c r="D359" i="8"/>
  <c r="E359" i="8"/>
  <c r="B359" i="8" l="1"/>
  <c r="E360" i="8"/>
  <c r="D360" i="8"/>
  <c r="B360" i="8" l="1"/>
  <c r="D361" i="8"/>
  <c r="E361" i="8"/>
  <c r="B361" i="8" l="1"/>
  <c r="E362" i="8"/>
  <c r="D362" i="8"/>
  <c r="B362" i="8" l="1"/>
  <c r="E363" i="8"/>
  <c r="D363" i="8"/>
  <c r="B363" i="8" l="1"/>
  <c r="D364" i="8"/>
  <c r="E364" i="8"/>
  <c r="B364" i="8" l="1"/>
  <c r="E365" i="8"/>
  <c r="D365" i="8"/>
  <c r="B365" i="8" l="1"/>
  <c r="D366" i="8"/>
  <c r="G36" i="11" s="1"/>
  <c r="E366" i="8"/>
  <c r="H36" i="11" s="1"/>
  <c r="B366" i="8" l="1"/>
  <c r="E36" i="11" s="1"/>
  <c r="D367" i="8"/>
  <c r="C368" i="8" l="1"/>
  <c r="M8" i="8" l="1"/>
  <c r="C9" i="10" s="1"/>
  <c r="O8" i="8" l="1"/>
  <c r="E9" i="10" s="1"/>
  <c r="N9" i="8" l="1"/>
  <c r="M9" i="8" l="1"/>
  <c r="D10" i="10"/>
  <c r="O9" i="8" l="1"/>
  <c r="C10" i="10"/>
  <c r="E10" i="10" l="1"/>
  <c r="N10" i="8"/>
  <c r="M10" i="8" l="1"/>
  <c r="D11" i="10"/>
  <c r="O10" i="8" l="1"/>
  <c r="N11" i="8" l="1"/>
  <c r="E11" i="10"/>
  <c r="M11" i="8" l="1"/>
  <c r="D12" i="10"/>
  <c r="C12" i="10" l="1"/>
  <c r="O11" i="8"/>
  <c r="E12" i="10" l="1"/>
  <c r="N12" i="8"/>
  <c r="M12" i="8" l="1"/>
  <c r="D13" i="10"/>
  <c r="C13" i="10" l="1"/>
  <c r="O12" i="8"/>
  <c r="N13" i="8" l="1"/>
  <c r="E13" i="10"/>
  <c r="M13" i="8" l="1"/>
  <c r="D14" i="10"/>
  <c r="O13" i="8" l="1"/>
  <c r="C14" i="10"/>
  <c r="E14" i="10" l="1"/>
  <c r="N14" i="8"/>
  <c r="M14" i="8" l="1"/>
  <c r="D15" i="10"/>
  <c r="O14" i="8" l="1"/>
  <c r="C15" i="10"/>
  <c r="E15" i="10" l="1"/>
  <c r="N15" i="8"/>
  <c r="M15" i="8" l="1"/>
  <c r="D16" i="10"/>
  <c r="O15" i="8" l="1"/>
  <c r="C16" i="10"/>
  <c r="E16" i="10" l="1"/>
  <c r="N16" i="8"/>
  <c r="M16" i="8" l="1"/>
  <c r="D17" i="10"/>
  <c r="O16" i="8" l="1"/>
  <c r="C17" i="10"/>
  <c r="E17" i="10" l="1"/>
  <c r="N17" i="8"/>
  <c r="M17" i="8" l="1"/>
  <c r="D18" i="10"/>
  <c r="O17" i="8" l="1"/>
  <c r="C18" i="10"/>
  <c r="E18" i="10" l="1"/>
  <c r="N18" i="8"/>
  <c r="M18" i="8" l="1"/>
  <c r="D19" i="10"/>
  <c r="O18" i="8" l="1"/>
  <c r="F7" i="11"/>
  <c r="C19" i="10"/>
  <c r="M19" i="8" l="1"/>
  <c r="C20" i="10" s="1"/>
  <c r="H7" i="11"/>
  <c r="E19" i="10"/>
  <c r="N19" i="8"/>
  <c r="O19" i="8" l="1"/>
  <c r="N20" i="8" s="1"/>
  <c r="D21" i="10" s="1"/>
  <c r="L19" i="8"/>
  <c r="D20" i="10"/>
  <c r="E20" i="10"/>
  <c r="L20" i="8" l="1"/>
  <c r="B20" i="10"/>
  <c r="O20" i="10" s="1"/>
  <c r="Q20" i="10" l="1"/>
  <c r="B21" i="10"/>
  <c r="O21" i="10" s="1"/>
  <c r="M20" i="8"/>
  <c r="L21" i="8"/>
  <c r="Q21" i="10" l="1"/>
  <c r="B22" i="10"/>
  <c r="O22" i="10" s="1"/>
  <c r="L22" i="8"/>
  <c r="O20" i="8"/>
  <c r="C21" i="10"/>
  <c r="Q22" i="10" l="1"/>
  <c r="E21" i="10"/>
  <c r="N21" i="8"/>
  <c r="B23" i="10"/>
  <c r="O23" i="10" s="1"/>
  <c r="L23" i="8"/>
  <c r="M21" i="8" l="1"/>
  <c r="D22" i="10"/>
  <c r="B24" i="10"/>
  <c r="O24" i="10" s="1"/>
  <c r="L24" i="8"/>
  <c r="B25" i="10" l="1"/>
  <c r="O25" i="10" s="1"/>
  <c r="L25" i="8"/>
  <c r="O21" i="8"/>
  <c r="C22" i="10"/>
  <c r="E22" i="10" l="1"/>
  <c r="N22" i="8"/>
  <c r="B26" i="10"/>
  <c r="O26" i="10" s="1"/>
  <c r="L26" i="8"/>
  <c r="M22" i="8" l="1"/>
  <c r="D23" i="10"/>
  <c r="B27" i="10"/>
  <c r="O27" i="10" s="1"/>
  <c r="L27" i="8"/>
  <c r="B28" i="10" l="1"/>
  <c r="O28" i="10" s="1"/>
  <c r="L28" i="8"/>
  <c r="C23" i="10"/>
  <c r="O22" i="8"/>
  <c r="B29" i="10" l="1"/>
  <c r="O29" i="10" s="1"/>
  <c r="L29" i="8"/>
  <c r="E23" i="10"/>
  <c r="N23" i="8"/>
  <c r="D24" i="10" l="1"/>
  <c r="M23" i="8"/>
  <c r="B30" i="10"/>
  <c r="O30" i="10" s="1"/>
  <c r="L30" i="8"/>
  <c r="E8" i="11" l="1"/>
  <c r="B31" i="10"/>
  <c r="O31" i="10" s="1"/>
  <c r="C24" i="10"/>
  <c r="O23" i="8"/>
  <c r="M8" i="11" l="1"/>
  <c r="E24" i="10"/>
  <c r="N24" i="8"/>
  <c r="M24" i="8" l="1"/>
  <c r="D25" i="10"/>
  <c r="O24" i="8" l="1"/>
  <c r="C25" i="10"/>
  <c r="E25" i="10" l="1"/>
  <c r="N25" i="8"/>
  <c r="M25" i="8" l="1"/>
  <c r="D26" i="10"/>
  <c r="O25" i="8" l="1"/>
  <c r="C26" i="10"/>
  <c r="E26" i="10" l="1"/>
  <c r="N26" i="8"/>
  <c r="M26" i="8" l="1"/>
  <c r="D27" i="10"/>
  <c r="O26" i="8" l="1"/>
  <c r="C27" i="10"/>
  <c r="E27" i="10" l="1"/>
  <c r="N27" i="8"/>
  <c r="M27" i="8" l="1"/>
  <c r="D28" i="10"/>
  <c r="O27" i="8" l="1"/>
  <c r="C28" i="10"/>
  <c r="E28" i="10" l="1"/>
  <c r="N28" i="8"/>
  <c r="M28" i="8" l="1"/>
  <c r="D29" i="10"/>
  <c r="O28" i="8" l="1"/>
  <c r="C29" i="10"/>
  <c r="E29" i="10" l="1"/>
  <c r="N29" i="8"/>
  <c r="M29" i="8" l="1"/>
  <c r="D30" i="10"/>
  <c r="O29" i="8" l="1"/>
  <c r="C30" i="10"/>
  <c r="E30" i="10" l="1"/>
  <c r="N30" i="8"/>
  <c r="M30" i="8" l="1"/>
  <c r="D31" i="10"/>
  <c r="O30" i="8" l="1"/>
  <c r="F8" i="11"/>
  <c r="C31" i="10"/>
  <c r="M31" i="8" l="1"/>
  <c r="H8" i="11"/>
  <c r="E31" i="10"/>
  <c r="N31" i="8"/>
  <c r="O31" i="8" l="1"/>
  <c r="D32" i="10"/>
  <c r="C32" i="10"/>
  <c r="L31" i="8"/>
  <c r="L32" i="8" l="1"/>
  <c r="B32" i="10"/>
  <c r="O32" i="10" s="1"/>
  <c r="E32" i="10"/>
  <c r="N32" i="8"/>
  <c r="D33" i="10" s="1"/>
  <c r="L33" i="8" l="1"/>
  <c r="B33" i="10"/>
  <c r="O33" i="10" s="1"/>
  <c r="M32" i="8"/>
  <c r="O32" i="8" l="1"/>
  <c r="C33" i="10"/>
  <c r="L34" i="8"/>
  <c r="B34" i="10"/>
  <c r="O34" i="10" s="1"/>
  <c r="N33" i="8" l="1"/>
  <c r="E33" i="10"/>
  <c r="L35" i="8"/>
  <c r="B35" i="10"/>
  <c r="O35" i="10" s="1"/>
  <c r="M33" i="8" l="1"/>
  <c r="D34" i="10"/>
  <c r="L36" i="8"/>
  <c r="B36" i="10"/>
  <c r="O36" i="10" s="1"/>
  <c r="O33" i="8" l="1"/>
  <c r="C34" i="10"/>
  <c r="B37" i="10"/>
  <c r="O37" i="10" s="1"/>
  <c r="L37" i="8"/>
  <c r="B38" i="10" l="1"/>
  <c r="O38" i="10" s="1"/>
  <c r="L38" i="8"/>
  <c r="E34" i="10"/>
  <c r="N34" i="8"/>
  <c r="M34" i="8" l="1"/>
  <c r="D35" i="10"/>
  <c r="B39" i="10"/>
  <c r="O39" i="10" s="1"/>
  <c r="L39" i="8"/>
  <c r="B40" i="10" l="1"/>
  <c r="O40" i="10" s="1"/>
  <c r="L40" i="8"/>
  <c r="O34" i="8"/>
  <c r="C35" i="10"/>
  <c r="E35" i="10" l="1"/>
  <c r="N35" i="8"/>
  <c r="B41" i="10"/>
  <c r="O41" i="10" s="1"/>
  <c r="L41" i="8"/>
  <c r="B42" i="10" l="1"/>
  <c r="O42" i="10" s="1"/>
  <c r="L42" i="8"/>
  <c r="M35" i="8"/>
  <c r="D36" i="10"/>
  <c r="O35" i="8" l="1"/>
  <c r="C36" i="10"/>
  <c r="E9" i="11"/>
  <c r="B43" i="10"/>
  <c r="O43" i="10" s="1"/>
  <c r="M9" i="11" l="1"/>
  <c r="E36" i="10"/>
  <c r="N36" i="8"/>
  <c r="M36" i="8" l="1"/>
  <c r="D37" i="10"/>
  <c r="O36" i="8" l="1"/>
  <c r="C37" i="10"/>
  <c r="E37" i="10" l="1"/>
  <c r="N37" i="8"/>
  <c r="M37" i="8" l="1"/>
  <c r="D38" i="10"/>
  <c r="O37" i="8" l="1"/>
  <c r="C38" i="10"/>
  <c r="E38" i="10" l="1"/>
  <c r="N38" i="8"/>
  <c r="M38" i="8" l="1"/>
  <c r="D39" i="10"/>
  <c r="O38" i="8" l="1"/>
  <c r="C39" i="10"/>
  <c r="E39" i="10" l="1"/>
  <c r="N39" i="8"/>
  <c r="M39" i="8" l="1"/>
  <c r="D40" i="10"/>
  <c r="O39" i="8" l="1"/>
  <c r="C40" i="10"/>
  <c r="E40" i="10" l="1"/>
  <c r="N40" i="8"/>
  <c r="M40" i="8" l="1"/>
  <c r="D41" i="10"/>
  <c r="O40" i="8" l="1"/>
  <c r="C41" i="10"/>
  <c r="E41" i="10" l="1"/>
  <c r="N41" i="8"/>
  <c r="M41" i="8" l="1"/>
  <c r="D42" i="10"/>
  <c r="O41" i="8" l="1"/>
  <c r="C42" i="10"/>
  <c r="E42" i="10" l="1"/>
  <c r="N42" i="8"/>
  <c r="M42" i="8" l="1"/>
  <c r="D43" i="10"/>
  <c r="O42" i="8" l="1"/>
  <c r="F9" i="11"/>
  <c r="C43" i="10"/>
  <c r="M43" i="8" l="1"/>
  <c r="H9" i="11"/>
  <c r="E43" i="10"/>
  <c r="N43" i="8"/>
  <c r="O43" i="8" l="1"/>
  <c r="D44" i="10"/>
  <c r="C44" i="10"/>
  <c r="L43" i="8"/>
  <c r="L44" i="8" l="1"/>
  <c r="B44" i="10"/>
  <c r="O44" i="10" s="1"/>
  <c r="E44" i="10"/>
  <c r="N44" i="8"/>
  <c r="D45" i="10" s="1"/>
  <c r="L45" i="8" l="1"/>
  <c r="B45" i="10"/>
  <c r="O45" i="10" s="1"/>
  <c r="M44" i="8"/>
  <c r="O44" i="8" l="1"/>
  <c r="C45" i="10"/>
  <c r="L46" i="8"/>
  <c r="B46" i="10"/>
  <c r="O46" i="10" s="1"/>
  <c r="L47" i="8" l="1"/>
  <c r="B47" i="10"/>
  <c r="O47" i="10" s="1"/>
  <c r="N45" i="8"/>
  <c r="E45" i="10"/>
  <c r="M45" i="8" l="1"/>
  <c r="D46" i="10"/>
  <c r="L48" i="8"/>
  <c r="B48" i="10"/>
  <c r="O48" i="10" s="1"/>
  <c r="B49" i="10" l="1"/>
  <c r="O49" i="10" s="1"/>
  <c r="L49" i="8"/>
  <c r="O45" i="8"/>
  <c r="C46" i="10"/>
  <c r="E46" i="10" l="1"/>
  <c r="N46" i="8"/>
  <c r="B50" i="10"/>
  <c r="O50" i="10" s="1"/>
  <c r="L50" i="8"/>
  <c r="B51" i="10" l="1"/>
  <c r="O51" i="10" s="1"/>
  <c r="L51" i="8"/>
  <c r="M46" i="8"/>
  <c r="D47" i="10"/>
  <c r="O46" i="8" l="1"/>
  <c r="C47" i="10"/>
  <c r="B52" i="10"/>
  <c r="O52" i="10" s="1"/>
  <c r="L52" i="8"/>
  <c r="B53" i="10" l="1"/>
  <c r="O53" i="10" s="1"/>
  <c r="L53" i="8"/>
  <c r="E47" i="10"/>
  <c r="N47" i="8"/>
  <c r="M47" i="8" l="1"/>
  <c r="D48" i="10"/>
  <c r="B54" i="10"/>
  <c r="O54" i="10" s="1"/>
  <c r="L54" i="8"/>
  <c r="E10" i="11" l="1"/>
  <c r="B55" i="10"/>
  <c r="O55" i="10" s="1"/>
  <c r="O47" i="8"/>
  <c r="C48" i="10"/>
  <c r="M10" i="11" l="1"/>
  <c r="E48" i="10"/>
  <c r="N48" i="8"/>
  <c r="M48" i="8" l="1"/>
  <c r="D49" i="10"/>
  <c r="O48" i="8" l="1"/>
  <c r="C49" i="10"/>
  <c r="E49" i="10" l="1"/>
  <c r="N49" i="8"/>
  <c r="M49" i="8" l="1"/>
  <c r="D50" i="10"/>
  <c r="O49" i="8" l="1"/>
  <c r="C50" i="10"/>
  <c r="E50" i="10" l="1"/>
  <c r="N50" i="8"/>
  <c r="M50" i="8" l="1"/>
  <c r="D51" i="10"/>
  <c r="O50" i="8" l="1"/>
  <c r="C51" i="10"/>
  <c r="D128" i="10"/>
  <c r="E51" i="10" l="1"/>
  <c r="N51" i="8"/>
  <c r="M51" i="8" l="1"/>
  <c r="D52" i="10"/>
  <c r="O51" i="8" l="1"/>
  <c r="C52" i="10"/>
  <c r="D131" i="10"/>
  <c r="E129" i="10"/>
  <c r="E52" i="10" l="1"/>
  <c r="N52" i="8"/>
  <c r="D132" i="10"/>
  <c r="D130" i="10"/>
  <c r="M52" i="8" l="1"/>
  <c r="D53" i="10"/>
  <c r="D133" i="10"/>
  <c r="O52" i="8" l="1"/>
  <c r="C53" i="10"/>
  <c r="D134" i="10"/>
  <c r="E53" i="10" l="1"/>
  <c r="N53" i="8"/>
  <c r="D135" i="10"/>
  <c r="M53" i="8" l="1"/>
  <c r="D54" i="10"/>
  <c r="D136" i="10"/>
  <c r="O53" i="8" l="1"/>
  <c r="C54" i="10"/>
  <c r="D137" i="10"/>
  <c r="E54" i="10" l="1"/>
  <c r="N54" i="8"/>
  <c r="D138" i="10"/>
  <c r="M54" i="8" l="1"/>
  <c r="D55" i="10"/>
  <c r="D139" i="10"/>
  <c r="O54" i="8" l="1"/>
  <c r="F10" i="11"/>
  <c r="C55" i="10"/>
  <c r="D140" i="10"/>
  <c r="M55" i="8" l="1"/>
  <c r="H10" i="11"/>
  <c r="E55" i="10"/>
  <c r="N55" i="8"/>
  <c r="D141" i="10"/>
  <c r="O55" i="8" l="1"/>
  <c r="D56" i="10"/>
  <c r="C56" i="10"/>
  <c r="L55" i="8"/>
  <c r="D142" i="10"/>
  <c r="E139" i="10"/>
  <c r="L56" i="8" l="1"/>
  <c r="B56" i="10"/>
  <c r="O56" i="10" s="1"/>
  <c r="E56" i="10"/>
  <c r="N56" i="8"/>
  <c r="D57" i="10" s="1"/>
  <c r="C140" i="10"/>
  <c r="D143" i="10"/>
  <c r="L57" i="8" l="1"/>
  <c r="B57" i="10"/>
  <c r="O57" i="10" s="1"/>
  <c r="M56" i="8"/>
  <c r="D144" i="10"/>
  <c r="B140" i="10"/>
  <c r="O56" i="8" l="1"/>
  <c r="C57" i="10"/>
  <c r="L58" i="8"/>
  <c r="B58" i="10"/>
  <c r="O58" i="10" s="1"/>
  <c r="B141" i="10"/>
  <c r="D145" i="10"/>
  <c r="L59" i="8" l="1"/>
  <c r="B59" i="10"/>
  <c r="O59" i="10" s="1"/>
  <c r="N57" i="8"/>
  <c r="E57" i="10"/>
  <c r="C141" i="10"/>
  <c r="D146" i="10"/>
  <c r="B142" i="10"/>
  <c r="M57" i="8" l="1"/>
  <c r="D58" i="10"/>
  <c r="L60" i="8"/>
  <c r="B60" i="10"/>
  <c r="O60" i="10" s="1"/>
  <c r="C142" i="10"/>
  <c r="D147" i="10"/>
  <c r="B143" i="10"/>
  <c r="B61" i="10" l="1"/>
  <c r="O61" i="10" s="1"/>
  <c r="L61" i="8"/>
  <c r="O57" i="8"/>
  <c r="C58" i="10"/>
  <c r="D148" i="10"/>
  <c r="C143" i="10"/>
  <c r="B144" i="10"/>
  <c r="E58" i="10" l="1"/>
  <c r="N58" i="8"/>
  <c r="B62" i="10"/>
  <c r="O62" i="10" s="1"/>
  <c r="L62" i="8"/>
  <c r="D149" i="10"/>
  <c r="B145" i="10"/>
  <c r="B63" i="10" l="1"/>
  <c r="O63" i="10" s="1"/>
  <c r="L63" i="8"/>
  <c r="M58" i="8"/>
  <c r="D59" i="10"/>
  <c r="B146" i="10"/>
  <c r="D150" i="10"/>
  <c r="C145" i="10"/>
  <c r="O58" i="8" l="1"/>
  <c r="C59" i="10"/>
  <c r="B64" i="10"/>
  <c r="O64" i="10" s="1"/>
  <c r="L64" i="8"/>
  <c r="C146" i="10"/>
  <c r="D151" i="10"/>
  <c r="B147" i="10"/>
  <c r="B65" i="10" l="1"/>
  <c r="O65" i="10" s="1"/>
  <c r="L65" i="8"/>
  <c r="E59" i="10"/>
  <c r="N59" i="8"/>
  <c r="C147" i="10"/>
  <c r="B148" i="10"/>
  <c r="D152" i="10"/>
  <c r="B66" i="10" l="1"/>
  <c r="O66" i="10" s="1"/>
  <c r="L66" i="8"/>
  <c r="M59" i="8"/>
  <c r="D60" i="10"/>
  <c r="B149" i="10"/>
  <c r="D153" i="10"/>
  <c r="C148" i="10"/>
  <c r="O59" i="8" l="1"/>
  <c r="C60" i="10"/>
  <c r="E11" i="11"/>
  <c r="B67" i="10"/>
  <c r="O67" i="10" s="1"/>
  <c r="D154" i="10"/>
  <c r="C149" i="10"/>
  <c r="B150" i="10"/>
  <c r="M11" i="11" l="1"/>
  <c r="E60" i="10"/>
  <c r="N60" i="8"/>
  <c r="B151" i="10"/>
  <c r="D155" i="10"/>
  <c r="C150" i="10"/>
  <c r="M60" i="8" l="1"/>
  <c r="D61" i="10"/>
  <c r="C151" i="10"/>
  <c r="D156" i="10"/>
  <c r="O60" i="8" l="1"/>
  <c r="C61" i="10"/>
  <c r="D157" i="10"/>
  <c r="E151" i="10"/>
  <c r="E61" i="10" l="1"/>
  <c r="N61" i="8"/>
  <c r="D158" i="10"/>
  <c r="C152" i="10"/>
  <c r="M61" i="8" l="1"/>
  <c r="D62" i="10"/>
  <c r="B152" i="10"/>
  <c r="D159" i="10"/>
  <c r="O61" i="8" l="1"/>
  <c r="C62" i="10"/>
  <c r="D160" i="10"/>
  <c r="B153" i="10"/>
  <c r="E62" i="10" l="1"/>
  <c r="N62" i="8"/>
  <c r="B154" i="10"/>
  <c r="D161" i="10"/>
  <c r="C153" i="10"/>
  <c r="M62" i="8" l="1"/>
  <c r="D63" i="10"/>
  <c r="D162" i="10"/>
  <c r="B155" i="10"/>
  <c r="O62" i="8" l="1"/>
  <c r="C63" i="10"/>
  <c r="B156" i="10"/>
  <c r="D163" i="10"/>
  <c r="C155" i="10"/>
  <c r="E63" i="10" l="1"/>
  <c r="N63" i="8"/>
  <c r="C156" i="10"/>
  <c r="D164" i="10"/>
  <c r="B157" i="10"/>
  <c r="M63" i="8" l="1"/>
  <c r="D64" i="10"/>
  <c r="C157" i="10"/>
  <c r="B158" i="10"/>
  <c r="D165" i="10"/>
  <c r="O63" i="8" l="1"/>
  <c r="C64" i="10"/>
  <c r="D166" i="10"/>
  <c r="B159" i="10"/>
  <c r="C158" i="10"/>
  <c r="E64" i="10" l="1"/>
  <c r="N64" i="8"/>
  <c r="D167" i="10"/>
  <c r="B160" i="10"/>
  <c r="C159" i="10"/>
  <c r="M64" i="8" l="1"/>
  <c r="D65" i="10"/>
  <c r="B161" i="10"/>
  <c r="D168" i="10"/>
  <c r="C160" i="10"/>
  <c r="O64" i="8" l="1"/>
  <c r="C65" i="10"/>
  <c r="D169" i="10"/>
  <c r="C161" i="10"/>
  <c r="B162" i="10"/>
  <c r="E65" i="10" l="1"/>
  <c r="N65" i="8"/>
  <c r="D170" i="10"/>
  <c r="C162" i="10"/>
  <c r="B163" i="10"/>
  <c r="M65" i="8" l="1"/>
  <c r="D66" i="10"/>
  <c r="D171" i="10"/>
  <c r="C163" i="10"/>
  <c r="O65" i="8" l="1"/>
  <c r="C66" i="10"/>
  <c r="E163" i="10"/>
  <c r="D172" i="10"/>
  <c r="E66" i="10" l="1"/>
  <c r="N66" i="8"/>
  <c r="D173" i="10"/>
  <c r="C164" i="10"/>
  <c r="M66" i="8" l="1"/>
  <c r="D67" i="10"/>
  <c r="B164" i="10"/>
  <c r="D174" i="10"/>
  <c r="O66" i="8" l="1"/>
  <c r="F11" i="11"/>
  <c r="C67" i="10"/>
  <c r="D175" i="10"/>
  <c r="B165" i="10"/>
  <c r="M67" i="8" l="1"/>
  <c r="H11" i="11"/>
  <c r="E67" i="10"/>
  <c r="N67" i="8"/>
  <c r="D176" i="10"/>
  <c r="C165" i="10"/>
  <c r="B166" i="10"/>
  <c r="C68" i="10" l="1"/>
  <c r="L67" i="8"/>
  <c r="O67" i="8"/>
  <c r="D68" i="10"/>
  <c r="C166" i="10"/>
  <c r="B167" i="10"/>
  <c r="E68" i="10" l="1"/>
  <c r="N68" i="8"/>
  <c r="D69" i="10" s="1"/>
  <c r="L68" i="8"/>
  <c r="B68" i="10"/>
  <c r="O68" i="10" s="1"/>
  <c r="D178" i="10"/>
  <c r="B168" i="10"/>
  <c r="L69" i="8" l="1"/>
  <c r="B69" i="10"/>
  <c r="O69" i="10" s="1"/>
  <c r="M68" i="8"/>
  <c r="B169" i="10"/>
  <c r="D179" i="10"/>
  <c r="O68" i="8" l="1"/>
  <c r="C69" i="10"/>
  <c r="L70" i="8"/>
  <c r="B70" i="10"/>
  <c r="O70" i="10" s="1"/>
  <c r="C169" i="10"/>
  <c r="D180" i="10"/>
  <c r="B170" i="10"/>
  <c r="L71" i="8" l="1"/>
  <c r="B71" i="10"/>
  <c r="O71" i="10" s="1"/>
  <c r="N69" i="8"/>
  <c r="E69" i="10"/>
  <c r="D181" i="10"/>
  <c r="C170" i="10"/>
  <c r="B171" i="10"/>
  <c r="M69" i="8" l="1"/>
  <c r="D70" i="10"/>
  <c r="L72" i="8"/>
  <c r="B72" i="10"/>
  <c r="O72" i="10" s="1"/>
  <c r="C171" i="10"/>
  <c r="B172" i="10"/>
  <c r="D182" i="10"/>
  <c r="B73" i="10" l="1"/>
  <c r="O73" i="10" s="1"/>
  <c r="L73" i="8"/>
  <c r="O69" i="8"/>
  <c r="C70" i="10"/>
  <c r="D183" i="10"/>
  <c r="B173" i="10"/>
  <c r="C172" i="10"/>
  <c r="E70" i="10" l="1"/>
  <c r="N70" i="8"/>
  <c r="B74" i="10"/>
  <c r="O74" i="10" s="1"/>
  <c r="L74" i="8"/>
  <c r="D184" i="10"/>
  <c r="B174" i="10"/>
  <c r="C173" i="10"/>
  <c r="M70" i="8" l="1"/>
  <c r="D71" i="10"/>
  <c r="B75" i="10"/>
  <c r="O75" i="10" s="1"/>
  <c r="L75" i="8"/>
  <c r="B175" i="10"/>
  <c r="D185" i="10"/>
  <c r="C174" i="10"/>
  <c r="O70" i="8" l="1"/>
  <c r="C71" i="10"/>
  <c r="B76" i="10"/>
  <c r="O76" i="10" s="1"/>
  <c r="L76" i="8"/>
  <c r="D186" i="10"/>
  <c r="C175" i="10"/>
  <c r="E71" i="10" l="1"/>
  <c r="N71" i="8"/>
  <c r="B77" i="10"/>
  <c r="O77" i="10" s="1"/>
  <c r="L77" i="8"/>
  <c r="E175" i="10"/>
  <c r="D187" i="10"/>
  <c r="B78" i="10" l="1"/>
  <c r="O78" i="10" s="1"/>
  <c r="L78" i="8"/>
  <c r="M71" i="8"/>
  <c r="D72" i="10"/>
  <c r="C176" i="10"/>
  <c r="O71" i="8" l="1"/>
  <c r="C72" i="10"/>
  <c r="E12" i="11"/>
  <c r="B79" i="10"/>
  <c r="O79" i="10" s="1"/>
  <c r="B176" i="10"/>
  <c r="M12" i="11" l="1"/>
  <c r="E72" i="10"/>
  <c r="N72" i="8"/>
  <c r="B177" i="10"/>
  <c r="M72" i="8" l="1"/>
  <c r="D73" i="10"/>
  <c r="C177" i="10"/>
  <c r="D191" i="10"/>
  <c r="B178" i="10"/>
  <c r="O72" i="8" l="1"/>
  <c r="C73" i="10"/>
  <c r="C178" i="10"/>
  <c r="D192" i="10"/>
  <c r="B179" i="10"/>
  <c r="E73" i="10" l="1"/>
  <c r="N73" i="8"/>
  <c r="C179" i="10"/>
  <c r="D193" i="10"/>
  <c r="B180" i="10"/>
  <c r="M73" i="8" l="1"/>
  <c r="D74" i="10"/>
  <c r="D194" i="10"/>
  <c r="C180" i="10"/>
  <c r="B181" i="10"/>
  <c r="O73" i="8" l="1"/>
  <c r="C74" i="10"/>
  <c r="D195" i="10"/>
  <c r="C181" i="10"/>
  <c r="B182" i="10"/>
  <c r="E74" i="10" l="1"/>
  <c r="N74" i="8"/>
  <c r="C182" i="10"/>
  <c r="B183" i="10"/>
  <c r="D196" i="10"/>
  <c r="M74" i="8" l="1"/>
  <c r="D75" i="10"/>
  <c r="D197" i="10"/>
  <c r="B184" i="10"/>
  <c r="C183" i="10"/>
  <c r="O74" i="8" l="1"/>
  <c r="C75" i="10"/>
  <c r="D198" i="10"/>
  <c r="B185" i="10"/>
  <c r="C184" i="10"/>
  <c r="E75" i="10" l="1"/>
  <c r="N75" i="8"/>
  <c r="D199" i="10"/>
  <c r="B186" i="10"/>
  <c r="C185" i="10"/>
  <c r="M75" i="8" l="1"/>
  <c r="D76" i="10"/>
  <c r="C186" i="10"/>
  <c r="D200" i="10"/>
  <c r="B187" i="10"/>
  <c r="O75" i="8" l="1"/>
  <c r="C76" i="10"/>
  <c r="C187" i="10"/>
  <c r="D201" i="10"/>
  <c r="E76" i="10" l="1"/>
  <c r="N76" i="8"/>
  <c r="D202" i="10"/>
  <c r="E187" i="10"/>
  <c r="M76" i="8" l="1"/>
  <c r="D77" i="10"/>
  <c r="C188" i="10"/>
  <c r="D203" i="10"/>
  <c r="O76" i="8" l="1"/>
  <c r="C77" i="10"/>
  <c r="B188" i="10"/>
  <c r="D204" i="10"/>
  <c r="E77" i="10" l="1"/>
  <c r="N77" i="8"/>
  <c r="D205" i="10"/>
  <c r="B189" i="10"/>
  <c r="M77" i="8" l="1"/>
  <c r="D78" i="10"/>
  <c r="B190" i="10"/>
  <c r="C189" i="10"/>
  <c r="D206" i="10"/>
  <c r="O77" i="8" l="1"/>
  <c r="C78" i="10"/>
  <c r="E189" i="10"/>
  <c r="B191" i="10"/>
  <c r="D207" i="10"/>
  <c r="E78" i="10" l="1"/>
  <c r="N78" i="8"/>
  <c r="B192" i="10"/>
  <c r="C191" i="10"/>
  <c r="D190" i="10"/>
  <c r="D208" i="10"/>
  <c r="M78" i="8" l="1"/>
  <c r="D79" i="10"/>
  <c r="D209" i="10"/>
  <c r="C190" i="10"/>
  <c r="B193" i="10"/>
  <c r="C192" i="10"/>
  <c r="O78" i="8" l="1"/>
  <c r="F12" i="11"/>
  <c r="C79" i="10"/>
  <c r="D210" i="10"/>
  <c r="C193" i="10"/>
  <c r="B194" i="10"/>
  <c r="M79" i="8" l="1"/>
  <c r="H12" i="11"/>
  <c r="E79" i="10"/>
  <c r="N79" i="8"/>
  <c r="B195" i="10"/>
  <c r="C194" i="10"/>
  <c r="D211" i="10"/>
  <c r="C80" i="10" l="1"/>
  <c r="L79" i="8"/>
  <c r="O79" i="8"/>
  <c r="D80" i="10"/>
  <c r="B196" i="10"/>
  <c r="C195" i="10"/>
  <c r="D212" i="10"/>
  <c r="E80" i="10" l="1"/>
  <c r="N80" i="8"/>
  <c r="D81" i="10" s="1"/>
  <c r="L80" i="8"/>
  <c r="B80" i="10"/>
  <c r="O80" i="10" s="1"/>
  <c r="B197" i="10"/>
  <c r="C196" i="10"/>
  <c r="L81" i="8" l="1"/>
  <c r="B81" i="10"/>
  <c r="O81" i="10" s="1"/>
  <c r="M80" i="8"/>
  <c r="C197" i="10"/>
  <c r="B198" i="10"/>
  <c r="D214" i="10"/>
  <c r="O80" i="8" l="1"/>
  <c r="C81" i="10"/>
  <c r="L82" i="8"/>
  <c r="B82" i="10"/>
  <c r="O82" i="10" s="1"/>
  <c r="C198" i="10"/>
  <c r="D215" i="10"/>
  <c r="B199" i="10"/>
  <c r="L83" i="8" l="1"/>
  <c r="B83" i="10"/>
  <c r="O83" i="10" s="1"/>
  <c r="N81" i="8"/>
  <c r="E81" i="10"/>
  <c r="C199" i="10"/>
  <c r="D216" i="10"/>
  <c r="M81" i="8" l="1"/>
  <c r="D82" i="10"/>
  <c r="L84" i="8"/>
  <c r="B84" i="10"/>
  <c r="O84" i="10" s="1"/>
  <c r="E199" i="10"/>
  <c r="D217" i="10"/>
  <c r="B85" i="10" l="1"/>
  <c r="O85" i="10" s="1"/>
  <c r="L85" i="8"/>
  <c r="O81" i="8"/>
  <c r="C82" i="10"/>
  <c r="D218" i="10"/>
  <c r="C200" i="10"/>
  <c r="E82" i="10" l="1"/>
  <c r="N82" i="8"/>
  <c r="B86" i="10"/>
  <c r="O86" i="10" s="1"/>
  <c r="L86" i="8"/>
  <c r="B200" i="10"/>
  <c r="D219" i="10"/>
  <c r="B87" i="10" l="1"/>
  <c r="O87" i="10" s="1"/>
  <c r="L87" i="8"/>
  <c r="M82" i="8"/>
  <c r="D83" i="10"/>
  <c r="D220" i="10"/>
  <c r="B201" i="10"/>
  <c r="O82" i="8" l="1"/>
  <c r="C83" i="10"/>
  <c r="B88" i="10"/>
  <c r="O88" i="10" s="1"/>
  <c r="L88" i="8"/>
  <c r="D221" i="10"/>
  <c r="C201" i="10"/>
  <c r="B202" i="10"/>
  <c r="E83" i="10" l="1"/>
  <c r="N83" i="8"/>
  <c r="B89" i="10"/>
  <c r="O89" i="10" s="1"/>
  <c r="L89" i="8"/>
  <c r="C202" i="10"/>
  <c r="B203" i="10"/>
  <c r="D222" i="10"/>
  <c r="M83" i="8" l="1"/>
  <c r="D84" i="10"/>
  <c r="B90" i="10"/>
  <c r="O90" i="10" s="1"/>
  <c r="L90" i="8"/>
  <c r="B204" i="10"/>
  <c r="C203" i="10"/>
  <c r="D223" i="10"/>
  <c r="E13" i="11" l="1"/>
  <c r="B91" i="10"/>
  <c r="O91" i="10" s="1"/>
  <c r="O83" i="8"/>
  <c r="C84" i="10"/>
  <c r="C204" i="10"/>
  <c r="B205" i="10"/>
  <c r="D224" i="10"/>
  <c r="M13" i="11" l="1"/>
  <c r="E84" i="10"/>
  <c r="N84" i="8"/>
  <c r="C205" i="10"/>
  <c r="B206" i="10"/>
  <c r="M84" i="8" l="1"/>
  <c r="D85" i="10"/>
  <c r="D226" i="10"/>
  <c r="C206" i="10"/>
  <c r="B207" i="10"/>
  <c r="O84" i="8" l="1"/>
  <c r="C85" i="10"/>
  <c r="C207" i="10"/>
  <c r="B208" i="10"/>
  <c r="D227" i="10"/>
  <c r="E85" i="10" l="1"/>
  <c r="N85" i="8"/>
  <c r="D228" i="10"/>
  <c r="C208" i="10"/>
  <c r="B209" i="10"/>
  <c r="M85" i="8" l="1"/>
  <c r="D86" i="10"/>
  <c r="C209" i="10"/>
  <c r="B210" i="10"/>
  <c r="D229" i="10"/>
  <c r="O85" i="8" l="1"/>
  <c r="C86" i="10"/>
  <c r="C210" i="10"/>
  <c r="D230" i="10"/>
  <c r="B211" i="10"/>
  <c r="E86" i="10" l="1"/>
  <c r="N86" i="8"/>
  <c r="C211" i="10"/>
  <c r="D231" i="10"/>
  <c r="M86" i="8" l="1"/>
  <c r="D87" i="10"/>
  <c r="E211" i="10"/>
  <c r="D232" i="10"/>
  <c r="O86" i="8" l="1"/>
  <c r="C87" i="10"/>
  <c r="D233" i="10"/>
  <c r="C212" i="10"/>
  <c r="E87" i="10" l="1"/>
  <c r="N87" i="8"/>
  <c r="B212" i="10"/>
  <c r="D234" i="10"/>
  <c r="M87" i="8" l="1"/>
  <c r="D88" i="10"/>
  <c r="D235" i="10"/>
  <c r="B213" i="10"/>
  <c r="O87" i="8" l="1"/>
  <c r="C88" i="10"/>
  <c r="D236" i="10"/>
  <c r="C213" i="10"/>
  <c r="B214" i="10"/>
  <c r="E88" i="10" l="1"/>
  <c r="N88" i="8"/>
  <c r="C214" i="10"/>
  <c r="B215" i="10"/>
  <c r="M88" i="8" l="1"/>
  <c r="D89" i="10"/>
  <c r="D238" i="10"/>
  <c r="B216" i="10"/>
  <c r="C215" i="10"/>
  <c r="O88" i="8" l="1"/>
  <c r="C89" i="10"/>
  <c r="B217" i="10"/>
  <c r="D239" i="10"/>
  <c r="C216" i="10"/>
  <c r="E89" i="10" l="1"/>
  <c r="N89" i="8"/>
  <c r="C217" i="10"/>
  <c r="B218" i="10"/>
  <c r="D240" i="10"/>
  <c r="M89" i="8" l="1"/>
  <c r="D90" i="10"/>
  <c r="D241" i="10"/>
  <c r="C218" i="10"/>
  <c r="B219" i="10"/>
  <c r="O89" i="8" l="1"/>
  <c r="C90" i="10"/>
  <c r="B220" i="10"/>
  <c r="C219" i="10"/>
  <c r="D242" i="10"/>
  <c r="E90" i="10" l="1"/>
  <c r="N90" i="8"/>
  <c r="C220" i="10"/>
  <c r="B221" i="10"/>
  <c r="D243" i="10"/>
  <c r="M90" i="8" l="1"/>
  <c r="D91" i="10"/>
  <c r="C221" i="10"/>
  <c r="D244" i="10"/>
  <c r="B222" i="10"/>
  <c r="O90" i="8" l="1"/>
  <c r="F13" i="11"/>
  <c r="C91" i="10"/>
  <c r="C222" i="10"/>
  <c r="B223" i="10"/>
  <c r="D245" i="10"/>
  <c r="M91" i="8" l="1"/>
  <c r="H13" i="11"/>
  <c r="E91" i="10"/>
  <c r="N91" i="8"/>
  <c r="C223" i="10"/>
  <c r="D246" i="10"/>
  <c r="O91" i="8" l="1"/>
  <c r="D92" i="10"/>
  <c r="C92" i="10"/>
  <c r="L91" i="8"/>
  <c r="E223" i="10"/>
  <c r="D247" i="10"/>
  <c r="L92" i="8" l="1"/>
  <c r="B92" i="10"/>
  <c r="O92" i="10" s="1"/>
  <c r="E92" i="10"/>
  <c r="N92" i="8"/>
  <c r="D248" i="10"/>
  <c r="C224" i="10"/>
  <c r="M92" i="8" l="1"/>
  <c r="D93" i="10"/>
  <c r="L93" i="8"/>
  <c r="B93" i="10"/>
  <c r="O93" i="10" s="1"/>
  <c r="B224" i="10"/>
  <c r="L94" i="8" l="1"/>
  <c r="B94" i="10"/>
  <c r="O94" i="10" s="1"/>
  <c r="O92" i="8"/>
  <c r="C93" i="10"/>
  <c r="D250" i="10"/>
  <c r="B225" i="10"/>
  <c r="E93" i="10" l="1"/>
  <c r="N93" i="8"/>
  <c r="L95" i="8"/>
  <c r="B95" i="10"/>
  <c r="O95" i="10" s="1"/>
  <c r="B226" i="10"/>
  <c r="D251" i="10"/>
  <c r="C225" i="10"/>
  <c r="B96" i="10" l="1"/>
  <c r="O96" i="10" s="1"/>
  <c r="L96" i="8"/>
  <c r="M93" i="8"/>
  <c r="D94" i="10"/>
  <c r="C226" i="10"/>
  <c r="D252" i="10"/>
  <c r="B227" i="10"/>
  <c r="O93" i="8" l="1"/>
  <c r="C94" i="10"/>
  <c r="B97" i="10"/>
  <c r="O97" i="10" s="1"/>
  <c r="L97" i="8"/>
  <c r="C227" i="10"/>
  <c r="B228" i="10"/>
  <c r="D253" i="10"/>
  <c r="B98" i="10" l="1"/>
  <c r="O98" i="10" s="1"/>
  <c r="L98" i="8"/>
  <c r="E94" i="10"/>
  <c r="N94" i="8"/>
  <c r="B229" i="10"/>
  <c r="C228" i="10"/>
  <c r="D254" i="10"/>
  <c r="B99" i="10" l="1"/>
  <c r="O99" i="10" s="1"/>
  <c r="L99" i="8"/>
  <c r="M94" i="8"/>
  <c r="D95" i="10"/>
  <c r="C229" i="10"/>
  <c r="B230" i="10"/>
  <c r="D255" i="10"/>
  <c r="O94" i="8" l="1"/>
  <c r="C95" i="10"/>
  <c r="B100" i="10"/>
  <c r="O100" i="10" s="1"/>
  <c r="L100" i="8"/>
  <c r="C230" i="10"/>
  <c r="D256" i="10"/>
  <c r="B231" i="10"/>
  <c r="E95" i="10" l="1"/>
  <c r="N95" i="8"/>
  <c r="B101" i="10"/>
  <c r="O101" i="10" s="1"/>
  <c r="L101" i="8"/>
  <c r="C231" i="10"/>
  <c r="B232" i="10"/>
  <c r="D257" i="10"/>
  <c r="M95" i="8" l="1"/>
  <c r="D96" i="10"/>
  <c r="B102" i="10"/>
  <c r="O102" i="10" s="1"/>
  <c r="L102" i="8"/>
  <c r="C232" i="10"/>
  <c r="D258" i="10"/>
  <c r="B233" i="10"/>
  <c r="O95" i="8" l="1"/>
  <c r="C96" i="10"/>
  <c r="E14" i="11"/>
  <c r="B103" i="10"/>
  <c r="O103" i="10" s="1"/>
  <c r="C233" i="10"/>
  <c r="B234" i="10"/>
  <c r="D259" i="10"/>
  <c r="M14" i="11" l="1"/>
  <c r="E96" i="10"/>
  <c r="N96" i="8"/>
  <c r="C234" i="10"/>
  <c r="D260" i="10"/>
  <c r="B235" i="10"/>
  <c r="M96" i="8" l="1"/>
  <c r="D97" i="10"/>
  <c r="D261" i="10"/>
  <c r="C235" i="10"/>
  <c r="O96" i="8" l="1"/>
  <c r="C97" i="10"/>
  <c r="D262" i="10"/>
  <c r="E235" i="10"/>
  <c r="E97" i="10" l="1"/>
  <c r="N97" i="8"/>
  <c r="C236" i="10"/>
  <c r="D263" i="10"/>
  <c r="M97" i="8" l="1"/>
  <c r="D98" i="10"/>
  <c r="B236" i="10"/>
  <c r="D264" i="10"/>
  <c r="O97" i="8" l="1"/>
  <c r="C98" i="10"/>
  <c r="D265" i="10"/>
  <c r="B237" i="10"/>
  <c r="E98" i="10" l="1"/>
  <c r="N98" i="8"/>
  <c r="B238" i="10"/>
  <c r="C237" i="10"/>
  <c r="D266" i="10"/>
  <c r="M98" i="8" l="1"/>
  <c r="D99" i="10"/>
  <c r="C238" i="10"/>
  <c r="B239" i="10"/>
  <c r="D267" i="10"/>
  <c r="O98" i="8" l="1"/>
  <c r="C99" i="10"/>
  <c r="B240" i="10"/>
  <c r="C239" i="10"/>
  <c r="D268" i="10"/>
  <c r="E99" i="10" l="1"/>
  <c r="N99" i="8"/>
  <c r="C240" i="10"/>
  <c r="B241" i="10"/>
  <c r="D269" i="10"/>
  <c r="M99" i="8" l="1"/>
  <c r="D100" i="10"/>
  <c r="C241" i="10"/>
  <c r="D270" i="10"/>
  <c r="B242" i="10"/>
  <c r="O99" i="8" l="1"/>
  <c r="C100" i="10"/>
  <c r="C242" i="10"/>
  <c r="B243" i="10"/>
  <c r="D271" i="10"/>
  <c r="E100" i="10" l="1"/>
  <c r="N100" i="8"/>
  <c r="C243" i="10"/>
  <c r="D272" i="10"/>
  <c r="B244" i="10"/>
  <c r="M100" i="8" l="1"/>
  <c r="D101" i="10"/>
  <c r="C244" i="10"/>
  <c r="B245" i="10"/>
  <c r="O100" i="8" l="1"/>
  <c r="C101" i="10"/>
  <c r="D274" i="10"/>
  <c r="C245" i="10"/>
  <c r="B246" i="10"/>
  <c r="E101" i="10" l="1"/>
  <c r="N101" i="8"/>
  <c r="C246" i="10"/>
  <c r="B247" i="10"/>
  <c r="D275" i="10"/>
  <c r="M101" i="8" l="1"/>
  <c r="D102" i="10"/>
  <c r="C247" i="10"/>
  <c r="D276" i="10"/>
  <c r="O101" i="8" l="1"/>
  <c r="C102" i="10"/>
  <c r="E247" i="10"/>
  <c r="D277" i="10"/>
  <c r="E102" i="10" l="1"/>
  <c r="N102" i="8"/>
  <c r="D278" i="10"/>
  <c r="C248" i="10"/>
  <c r="M102" i="8" l="1"/>
  <c r="D103" i="10"/>
  <c r="B248" i="10"/>
  <c r="D279" i="10"/>
  <c r="O102" i="8" l="1"/>
  <c r="F14" i="11"/>
  <c r="C103" i="10"/>
  <c r="D280" i="10"/>
  <c r="B249" i="10"/>
  <c r="M103" i="8" l="1"/>
  <c r="H14" i="11"/>
  <c r="E103" i="10"/>
  <c r="N103" i="8"/>
  <c r="D281" i="10"/>
  <c r="C249" i="10"/>
  <c r="B250" i="10"/>
  <c r="C104" i="10" l="1"/>
  <c r="L103" i="8"/>
  <c r="O103" i="8"/>
  <c r="D104" i="10"/>
  <c r="C250" i="10"/>
  <c r="B251" i="10"/>
  <c r="D282" i="10"/>
  <c r="E104" i="10" l="1"/>
  <c r="N104" i="8"/>
  <c r="D105" i="10" s="1"/>
  <c r="L104" i="8"/>
  <c r="B104" i="10"/>
  <c r="O104" i="10" s="1"/>
  <c r="B252" i="10"/>
  <c r="C251" i="10"/>
  <c r="D283" i="10"/>
  <c r="L105" i="8" l="1"/>
  <c r="B105" i="10"/>
  <c r="O105" i="10" s="1"/>
  <c r="M104" i="8"/>
  <c r="C252" i="10"/>
  <c r="D284" i="10"/>
  <c r="B253" i="10"/>
  <c r="L106" i="8" l="1"/>
  <c r="B106" i="10"/>
  <c r="O106" i="10" s="1"/>
  <c r="O104" i="8"/>
  <c r="C105" i="10"/>
  <c r="C253" i="10"/>
  <c r="B254" i="10"/>
  <c r="N105" i="8" l="1"/>
  <c r="E105" i="10"/>
  <c r="L107" i="8"/>
  <c r="B107" i="10"/>
  <c r="O107" i="10" s="1"/>
  <c r="D286" i="10"/>
  <c r="C254" i="10"/>
  <c r="B255" i="10"/>
  <c r="L108" i="8" l="1"/>
  <c r="B108" i="10"/>
  <c r="O108" i="10" s="1"/>
  <c r="M105" i="8"/>
  <c r="D106" i="10"/>
  <c r="C255" i="10"/>
  <c r="B256" i="10"/>
  <c r="D287" i="10"/>
  <c r="O105" i="8" l="1"/>
  <c r="C106" i="10"/>
  <c r="B109" i="10"/>
  <c r="O109" i="10" s="1"/>
  <c r="L109" i="8"/>
  <c r="D288" i="10"/>
  <c r="C256" i="10"/>
  <c r="B257" i="10"/>
  <c r="E106" i="10" l="1"/>
  <c r="N106" i="8"/>
  <c r="B110" i="10"/>
  <c r="O110" i="10" s="1"/>
  <c r="L110" i="8"/>
  <c r="C257" i="10"/>
  <c r="B258" i="10"/>
  <c r="D289" i="10"/>
  <c r="M106" i="8" l="1"/>
  <c r="D107" i="10"/>
  <c r="B111" i="10"/>
  <c r="O111" i="10" s="1"/>
  <c r="L111" i="8"/>
  <c r="C258" i="10"/>
  <c r="D290" i="10"/>
  <c r="B259" i="10"/>
  <c r="O106" i="8" l="1"/>
  <c r="C107" i="10"/>
  <c r="B112" i="10"/>
  <c r="O112" i="10" s="1"/>
  <c r="L112" i="8"/>
  <c r="C259" i="10"/>
  <c r="D291" i="10"/>
  <c r="B113" i="10" l="1"/>
  <c r="O113" i="10" s="1"/>
  <c r="L113" i="8"/>
  <c r="E107" i="10"/>
  <c r="N107" i="8"/>
  <c r="D292" i="10"/>
  <c r="E259" i="10"/>
  <c r="M107" i="8" l="1"/>
  <c r="D108" i="10"/>
  <c r="B114" i="10"/>
  <c r="O114" i="10" s="1"/>
  <c r="L114" i="8"/>
  <c r="C260" i="10"/>
  <c r="D293" i="10"/>
  <c r="E15" i="11" l="1"/>
  <c r="B115" i="10"/>
  <c r="O115" i="10" s="1"/>
  <c r="O107" i="8"/>
  <c r="C108" i="10"/>
  <c r="B260" i="10"/>
  <c r="D294" i="10"/>
  <c r="M15" i="11" l="1"/>
  <c r="E108" i="10"/>
  <c r="N108" i="8"/>
  <c r="D295" i="10"/>
  <c r="B261" i="10"/>
  <c r="M108" i="8" l="1"/>
  <c r="D109" i="10"/>
  <c r="D296" i="10"/>
  <c r="C261" i="10"/>
  <c r="B262" i="10"/>
  <c r="O108" i="8" l="1"/>
  <c r="C109" i="10"/>
  <c r="C262" i="10"/>
  <c r="B263" i="10"/>
  <c r="E109" i="10" l="1"/>
  <c r="N109" i="8"/>
  <c r="B264" i="10"/>
  <c r="C263" i="10"/>
  <c r="M109" i="8" l="1"/>
  <c r="D110" i="10"/>
  <c r="C264" i="10"/>
  <c r="D299" i="10"/>
  <c r="B265" i="10"/>
  <c r="O109" i="8" l="1"/>
  <c r="C110" i="10"/>
  <c r="C265" i="10"/>
  <c r="B266" i="10"/>
  <c r="D300" i="10"/>
  <c r="E110" i="10" l="1"/>
  <c r="N110" i="8"/>
  <c r="C266" i="10"/>
  <c r="D301" i="10"/>
  <c r="B267" i="10"/>
  <c r="M110" i="8" l="1"/>
  <c r="D111" i="10"/>
  <c r="B268" i="10"/>
  <c r="D302" i="10"/>
  <c r="O110" i="8" l="1"/>
  <c r="C111" i="10"/>
  <c r="D303" i="10"/>
  <c r="B269" i="10"/>
  <c r="C268" i="10"/>
  <c r="E111" i="10" l="1"/>
  <c r="N111" i="8"/>
  <c r="C269" i="10"/>
  <c r="D304" i="10"/>
  <c r="B270" i="10"/>
  <c r="M111" i="8" l="1"/>
  <c r="D112" i="10"/>
  <c r="C270" i="10"/>
  <c r="B271" i="10"/>
  <c r="D305" i="10"/>
  <c r="O111" i="8" l="1"/>
  <c r="C112" i="10"/>
  <c r="C271" i="10"/>
  <c r="D306" i="10"/>
  <c r="E112" i="10" l="1"/>
  <c r="N112" i="8"/>
  <c r="E271" i="10"/>
  <c r="D307" i="10"/>
  <c r="M112" i="8" l="1"/>
  <c r="D113" i="10"/>
  <c r="D308" i="10"/>
  <c r="C272" i="10"/>
  <c r="O112" i="8" l="1"/>
  <c r="C113" i="10"/>
  <c r="B272" i="10"/>
  <c r="E113" i="10" l="1"/>
  <c r="N113" i="8"/>
  <c r="D310" i="10"/>
  <c r="B273" i="10"/>
  <c r="M113" i="8" l="1"/>
  <c r="D114" i="10"/>
  <c r="B274" i="10"/>
  <c r="C273" i="10"/>
  <c r="D311" i="10"/>
  <c r="O113" i="8" l="1"/>
  <c r="C114" i="10"/>
  <c r="C274" i="10"/>
  <c r="B275" i="10"/>
  <c r="D312" i="10"/>
  <c r="E114" i="10" l="1"/>
  <c r="N114" i="8"/>
  <c r="B276" i="10"/>
  <c r="C275" i="10"/>
  <c r="D313" i="10"/>
  <c r="M114" i="8" l="1"/>
  <c r="D115" i="10"/>
  <c r="C276" i="10"/>
  <c r="B277" i="10"/>
  <c r="D314" i="10"/>
  <c r="O114" i="8" l="1"/>
  <c r="F15" i="11"/>
  <c r="C115" i="10"/>
  <c r="C277" i="10"/>
  <c r="D315" i="10"/>
  <c r="B278" i="10"/>
  <c r="M115" i="8" l="1"/>
  <c r="H15" i="11"/>
  <c r="E115" i="10"/>
  <c r="N115" i="8"/>
  <c r="C278" i="10"/>
  <c r="B279" i="10"/>
  <c r="D316" i="10"/>
  <c r="C116" i="10" l="1"/>
  <c r="L115" i="8"/>
  <c r="O115" i="8"/>
  <c r="D116" i="10"/>
  <c r="C279" i="10"/>
  <c r="D317" i="10"/>
  <c r="B280" i="10"/>
  <c r="E116" i="10" l="1"/>
  <c r="N116" i="8"/>
  <c r="D117" i="10" s="1"/>
  <c r="L116" i="8"/>
  <c r="B116" i="10"/>
  <c r="O116" i="10" s="1"/>
  <c r="C280" i="10"/>
  <c r="B281" i="10"/>
  <c r="D318" i="10"/>
  <c r="L117" i="8" l="1"/>
  <c r="B117" i="10"/>
  <c r="O117" i="10" s="1"/>
  <c r="M116" i="8"/>
  <c r="C281" i="10"/>
  <c r="D319" i="10"/>
  <c r="B282" i="10"/>
  <c r="O116" i="8" l="1"/>
  <c r="C117" i="10"/>
  <c r="L118" i="8"/>
  <c r="B118" i="10"/>
  <c r="O118" i="10" s="1"/>
  <c r="B283" i="10"/>
  <c r="D320" i="10"/>
  <c r="C282" i="10"/>
  <c r="L119" i="8" l="1"/>
  <c r="B119" i="10"/>
  <c r="O119" i="10" s="1"/>
  <c r="N117" i="8"/>
  <c r="E117" i="10"/>
  <c r="C283" i="10"/>
  <c r="M117" i="8" l="1"/>
  <c r="D118" i="10"/>
  <c r="L120" i="8"/>
  <c r="B120" i="10"/>
  <c r="O120" i="10" s="1"/>
  <c r="E283" i="10"/>
  <c r="B121" i="10" l="1"/>
  <c r="O121" i="10" s="1"/>
  <c r="L121" i="8"/>
  <c r="O117" i="8"/>
  <c r="C118" i="10"/>
  <c r="D323" i="10"/>
  <c r="C284" i="10"/>
  <c r="E118" i="10" l="1"/>
  <c r="N118" i="8"/>
  <c r="B122" i="10"/>
  <c r="O122" i="10" s="1"/>
  <c r="L122" i="8"/>
  <c r="B284" i="10"/>
  <c r="D324" i="10"/>
  <c r="B123" i="10" l="1"/>
  <c r="O123" i="10" s="1"/>
  <c r="L123" i="8"/>
  <c r="M118" i="8"/>
  <c r="D119" i="10"/>
  <c r="D325" i="10"/>
  <c r="B285" i="10"/>
  <c r="O118" i="8" l="1"/>
  <c r="C119" i="10"/>
  <c r="B124" i="10"/>
  <c r="O124" i="10" s="1"/>
  <c r="L124" i="8"/>
  <c r="D326" i="10"/>
  <c r="C285" i="10"/>
  <c r="B286" i="10"/>
  <c r="E119" i="10" l="1"/>
  <c r="N119" i="8"/>
  <c r="B125" i="10"/>
  <c r="O125" i="10" s="1"/>
  <c r="L125" i="8"/>
  <c r="C286" i="10"/>
  <c r="B287" i="10"/>
  <c r="D327" i="10"/>
  <c r="M119" i="8" l="1"/>
  <c r="D120" i="10"/>
  <c r="B126" i="10"/>
  <c r="O126" i="10" s="1"/>
  <c r="L126" i="8"/>
  <c r="B288" i="10"/>
  <c r="C287" i="10"/>
  <c r="D328" i="10"/>
  <c r="E16" i="11" l="1"/>
  <c r="B127" i="10"/>
  <c r="O127" i="10" s="1"/>
  <c r="O119" i="8"/>
  <c r="C120" i="10"/>
  <c r="C288" i="10"/>
  <c r="B289" i="10"/>
  <c r="D329" i="10"/>
  <c r="M16" i="11" l="1"/>
  <c r="E120" i="10"/>
  <c r="N120" i="8"/>
  <c r="C289" i="10"/>
  <c r="D330" i="10"/>
  <c r="B290" i="10"/>
  <c r="M120" i="8" l="1"/>
  <c r="D121" i="10"/>
  <c r="B291" i="10"/>
  <c r="C290" i="10"/>
  <c r="D331" i="10"/>
  <c r="O120" i="8" l="1"/>
  <c r="C121" i="10"/>
  <c r="C291" i="10"/>
  <c r="B292" i="10"/>
  <c r="D332" i="10"/>
  <c r="E121" i="10" l="1"/>
  <c r="N121" i="8"/>
  <c r="C292" i="10"/>
  <c r="B293" i="10"/>
  <c r="M121" i="8" l="1"/>
  <c r="D122" i="10"/>
  <c r="D334" i="10"/>
  <c r="C293" i="10"/>
  <c r="B294" i="10"/>
  <c r="O121" i="8" l="1"/>
  <c r="C122" i="10"/>
  <c r="B295" i="10"/>
  <c r="C294" i="10"/>
  <c r="D335" i="10"/>
  <c r="E122" i="10" l="1"/>
  <c r="N122" i="8"/>
  <c r="C295" i="10"/>
  <c r="D336" i="10"/>
  <c r="M122" i="8" l="1"/>
  <c r="D123" i="10"/>
  <c r="E295" i="10"/>
  <c r="D337" i="10"/>
  <c r="O122" i="8" l="1"/>
  <c r="C123" i="10"/>
  <c r="D338" i="10"/>
  <c r="C296" i="10"/>
  <c r="E123" i="10" l="1"/>
  <c r="N123" i="8"/>
  <c r="B296" i="10"/>
  <c r="D339" i="10"/>
  <c r="M123" i="8" l="1"/>
  <c r="D124" i="10"/>
  <c r="D340" i="10"/>
  <c r="B297" i="10"/>
  <c r="O123" i="8" l="1"/>
  <c r="C124" i="10"/>
  <c r="D341" i="10"/>
  <c r="C297" i="10"/>
  <c r="B298" i="10"/>
  <c r="E124" i="10" l="1"/>
  <c r="N124" i="8"/>
  <c r="D342" i="10"/>
  <c r="B299" i="10"/>
  <c r="E297" i="10"/>
  <c r="M124" i="8" l="1"/>
  <c r="D125" i="10"/>
  <c r="B300" i="10"/>
  <c r="D298" i="10"/>
  <c r="C299" i="10"/>
  <c r="D343" i="10"/>
  <c r="O124" i="8" l="1"/>
  <c r="C125" i="10"/>
  <c r="C300" i="10"/>
  <c r="B301" i="10"/>
  <c r="D344" i="10"/>
  <c r="C298" i="10"/>
  <c r="E125" i="10" l="1"/>
  <c r="N125" i="8"/>
  <c r="C301" i="10"/>
  <c r="B302" i="10"/>
  <c r="M125" i="8" l="1"/>
  <c r="D126" i="10"/>
  <c r="C302" i="10"/>
  <c r="B303" i="10"/>
  <c r="O125" i="8" l="1"/>
  <c r="C126" i="10"/>
  <c r="D347" i="10"/>
  <c r="C303" i="10"/>
  <c r="B304" i="10"/>
  <c r="E126" i="10" l="1"/>
  <c r="N126" i="8"/>
  <c r="C304" i="10"/>
  <c r="B305" i="10"/>
  <c r="D348" i="10"/>
  <c r="M126" i="8" l="1"/>
  <c r="D127" i="10"/>
  <c r="C305" i="10"/>
  <c r="D349" i="10"/>
  <c r="B306" i="10"/>
  <c r="O126" i="8" l="1"/>
  <c r="F16" i="11"/>
  <c r="C127" i="10"/>
  <c r="C306" i="10"/>
  <c r="B307" i="10"/>
  <c r="D350" i="10"/>
  <c r="M127" i="8" l="1"/>
  <c r="O127" i="8" s="1"/>
  <c r="N127" i="8"/>
  <c r="H16" i="11"/>
  <c r="E127" i="10"/>
  <c r="C307" i="10"/>
  <c r="D351" i="10"/>
  <c r="E128" i="10" l="1"/>
  <c r="N128" i="8"/>
  <c r="D129" i="10" s="1"/>
  <c r="C128" i="10"/>
  <c r="L127" i="8"/>
  <c r="E307" i="10"/>
  <c r="D352" i="10"/>
  <c r="B128" i="10" l="1"/>
  <c r="O128" i="10" s="1"/>
  <c r="L128" i="8"/>
  <c r="D353" i="10"/>
  <c r="C308" i="10"/>
  <c r="M128" i="8" l="1"/>
  <c r="L129" i="8"/>
  <c r="B129" i="10"/>
  <c r="O129" i="10" s="1"/>
  <c r="B308" i="10"/>
  <c r="D354" i="10"/>
  <c r="C129" i="10" l="1"/>
  <c r="O128" i="8"/>
  <c r="B130" i="10"/>
  <c r="O130" i="10" s="1"/>
  <c r="L130" i="8"/>
  <c r="D355" i="10"/>
  <c r="B309" i="10"/>
  <c r="N129" i="8" l="1"/>
  <c r="M129" i="8" s="1"/>
  <c r="C130" i="10" s="1"/>
  <c r="L131" i="8"/>
  <c r="B131" i="10"/>
  <c r="O131" i="10" s="1"/>
  <c r="D356" i="10"/>
  <c r="C309" i="10"/>
  <c r="B310" i="10"/>
  <c r="O129" i="8" l="1"/>
  <c r="N130" i="8" s="1"/>
  <c r="M130" i="8" s="1"/>
  <c r="C131" i="10" s="1"/>
  <c r="E130" i="10"/>
  <c r="B132" i="10"/>
  <c r="O132" i="10" s="1"/>
  <c r="L132" i="8"/>
  <c r="C310" i="10"/>
  <c r="B311" i="10"/>
  <c r="O130" i="8" l="1"/>
  <c r="B133" i="10"/>
  <c r="O133" i="10" s="1"/>
  <c r="L133" i="8"/>
  <c r="B312" i="10"/>
  <c r="C311" i="10"/>
  <c r="E131" i="10" l="1"/>
  <c r="N131" i="8"/>
  <c r="M131" i="8" s="1"/>
  <c r="C132" i="10" s="1"/>
  <c r="B134" i="10"/>
  <c r="O134" i="10" s="1"/>
  <c r="L134" i="8"/>
  <c r="C312" i="10"/>
  <c r="D359" i="10"/>
  <c r="B313" i="10"/>
  <c r="O131" i="8" l="1"/>
  <c r="N132" i="8" s="1"/>
  <c r="M132" i="8" s="1"/>
  <c r="C133" i="10" s="1"/>
  <c r="E132" i="10"/>
  <c r="L135" i="8"/>
  <c r="B135" i="10"/>
  <c r="O135" i="10" s="1"/>
  <c r="C313" i="10"/>
  <c r="B314" i="10"/>
  <c r="D360" i="10"/>
  <c r="O132" i="8" l="1"/>
  <c r="N133" i="8" s="1"/>
  <c r="M133" i="8" s="1"/>
  <c r="C134" i="10" s="1"/>
  <c r="E133" i="10"/>
  <c r="B136" i="10"/>
  <c r="O136" i="10" s="1"/>
  <c r="L136" i="8"/>
  <c r="C314" i="10"/>
  <c r="D361" i="10"/>
  <c r="B315" i="10"/>
  <c r="O133" i="8" l="1"/>
  <c r="N134" i="8" s="1"/>
  <c r="M134" i="8" s="1"/>
  <c r="C135" i="10" s="1"/>
  <c r="E134" i="10"/>
  <c r="L137" i="8"/>
  <c r="B137" i="10"/>
  <c r="O137" i="10" s="1"/>
  <c r="C315" i="10"/>
  <c r="B316" i="10"/>
  <c r="D362" i="10"/>
  <c r="O134" i="8" l="1"/>
  <c r="N135" i="8" s="1"/>
  <c r="M135" i="8" s="1"/>
  <c r="C136" i="10" s="1"/>
  <c r="E135" i="10"/>
  <c r="L138" i="8"/>
  <c r="B138" i="10"/>
  <c r="O138" i="10" s="1"/>
  <c r="C316" i="10"/>
  <c r="D363" i="10"/>
  <c r="B317" i="10"/>
  <c r="O135" i="8" l="1"/>
  <c r="N136" i="8" s="1"/>
  <c r="M136" i="8" s="1"/>
  <c r="C137" i="10" s="1"/>
  <c r="E136" i="10"/>
  <c r="B139" i="10"/>
  <c r="O139" i="10" s="1"/>
  <c r="O140" i="10" s="1"/>
  <c r="O141" i="10" s="1"/>
  <c r="O142" i="10" s="1"/>
  <c r="O143" i="10" s="1"/>
  <c r="O144" i="10" s="1"/>
  <c r="O145" i="10" s="1"/>
  <c r="O146" i="10" s="1"/>
  <c r="O147" i="10" s="1"/>
  <c r="O148" i="10" s="1"/>
  <c r="O149" i="10" s="1"/>
  <c r="O150" i="10" s="1"/>
  <c r="O151" i="10" s="1"/>
  <c r="O152" i="10" s="1"/>
  <c r="O153" i="10" s="1"/>
  <c r="O154" i="10" s="1"/>
  <c r="O155" i="10" s="1"/>
  <c r="O156" i="10" s="1"/>
  <c r="O157" i="10" s="1"/>
  <c r="O158" i="10" s="1"/>
  <c r="O159" i="10" s="1"/>
  <c r="O160" i="10" s="1"/>
  <c r="O161" i="10" s="1"/>
  <c r="O162" i="10" s="1"/>
  <c r="O163" i="10" s="1"/>
  <c r="O164" i="10" s="1"/>
  <c r="O165" i="10" s="1"/>
  <c r="O166" i="10" s="1"/>
  <c r="O167" i="10" s="1"/>
  <c r="O168" i="10" s="1"/>
  <c r="O169" i="10" s="1"/>
  <c r="O170" i="10" s="1"/>
  <c r="O171" i="10" s="1"/>
  <c r="O172" i="10" s="1"/>
  <c r="O173" i="10" s="1"/>
  <c r="O174" i="10" s="1"/>
  <c r="O175" i="10" s="1"/>
  <c r="O176" i="10" s="1"/>
  <c r="O177" i="10" s="1"/>
  <c r="O178" i="10" s="1"/>
  <c r="O179" i="10" s="1"/>
  <c r="O180" i="10" s="1"/>
  <c r="O181" i="10" s="1"/>
  <c r="O182" i="10" s="1"/>
  <c r="O183" i="10" s="1"/>
  <c r="O184" i="10" s="1"/>
  <c r="O185" i="10" s="1"/>
  <c r="O186" i="10" s="1"/>
  <c r="O187" i="10" s="1"/>
  <c r="O188" i="10" s="1"/>
  <c r="O189" i="10" s="1"/>
  <c r="O190" i="10" s="1"/>
  <c r="O191" i="10" s="1"/>
  <c r="O192" i="10" s="1"/>
  <c r="O193" i="10" s="1"/>
  <c r="O194" i="10" s="1"/>
  <c r="O195" i="10" s="1"/>
  <c r="O196" i="10" s="1"/>
  <c r="O197" i="10" s="1"/>
  <c r="O198" i="10" s="1"/>
  <c r="O199" i="10" s="1"/>
  <c r="O200" i="10" s="1"/>
  <c r="O201" i="10" s="1"/>
  <c r="O202" i="10" s="1"/>
  <c r="O203" i="10" s="1"/>
  <c r="O204" i="10" s="1"/>
  <c r="O205" i="10" s="1"/>
  <c r="O206" i="10" s="1"/>
  <c r="O207" i="10" s="1"/>
  <c r="O208" i="10" s="1"/>
  <c r="O209" i="10" s="1"/>
  <c r="O210" i="10" s="1"/>
  <c r="O211" i="10" s="1"/>
  <c r="O212" i="10" s="1"/>
  <c r="O213" i="10" s="1"/>
  <c r="O214" i="10" s="1"/>
  <c r="O215" i="10" s="1"/>
  <c r="O216" i="10" s="1"/>
  <c r="O217" i="10" s="1"/>
  <c r="O218" i="10" s="1"/>
  <c r="O219" i="10" s="1"/>
  <c r="O220" i="10" s="1"/>
  <c r="O221" i="10" s="1"/>
  <c r="O222" i="10" s="1"/>
  <c r="O223" i="10" s="1"/>
  <c r="O224" i="10" s="1"/>
  <c r="O225" i="10" s="1"/>
  <c r="O226" i="10" s="1"/>
  <c r="O227" i="10" s="1"/>
  <c r="O228" i="10" s="1"/>
  <c r="O229" i="10" s="1"/>
  <c r="O230" i="10" s="1"/>
  <c r="O231" i="10" s="1"/>
  <c r="O232" i="10" s="1"/>
  <c r="O233" i="10" s="1"/>
  <c r="O234" i="10" s="1"/>
  <c r="O235" i="10" s="1"/>
  <c r="O236" i="10" s="1"/>
  <c r="O237" i="10" s="1"/>
  <c r="O238" i="10" s="1"/>
  <c r="O239" i="10" s="1"/>
  <c r="O240" i="10" s="1"/>
  <c r="O241" i="10" s="1"/>
  <c r="O242" i="10" s="1"/>
  <c r="O243" i="10" s="1"/>
  <c r="O244" i="10" s="1"/>
  <c r="O245" i="10" s="1"/>
  <c r="O246" i="10" s="1"/>
  <c r="O247" i="10" s="1"/>
  <c r="O248" i="10" s="1"/>
  <c r="O249" i="10" s="1"/>
  <c r="O250" i="10" s="1"/>
  <c r="O251" i="10" s="1"/>
  <c r="O252" i="10" s="1"/>
  <c r="O253" i="10" s="1"/>
  <c r="O254" i="10" s="1"/>
  <c r="O255" i="10" s="1"/>
  <c r="O256" i="10" s="1"/>
  <c r="O257" i="10" s="1"/>
  <c r="O258" i="10" s="1"/>
  <c r="O259" i="10" s="1"/>
  <c r="O260" i="10" s="1"/>
  <c r="O261" i="10" s="1"/>
  <c r="O262" i="10" s="1"/>
  <c r="O263" i="10" s="1"/>
  <c r="O264" i="10" s="1"/>
  <c r="O265" i="10" s="1"/>
  <c r="O266" i="10" s="1"/>
  <c r="O267" i="10" s="1"/>
  <c r="O268" i="10" s="1"/>
  <c r="O269" i="10" s="1"/>
  <c r="O270" i="10" s="1"/>
  <c r="O271" i="10" s="1"/>
  <c r="O272" i="10" s="1"/>
  <c r="O273" i="10" s="1"/>
  <c r="O274" i="10" s="1"/>
  <c r="O275" i="10" s="1"/>
  <c r="O276" i="10" s="1"/>
  <c r="O277" i="10" s="1"/>
  <c r="O278" i="10" s="1"/>
  <c r="O279" i="10" s="1"/>
  <c r="O280" i="10" s="1"/>
  <c r="O281" i="10" s="1"/>
  <c r="O282" i="10" s="1"/>
  <c r="O283" i="10" s="1"/>
  <c r="O284" i="10" s="1"/>
  <c r="O285" i="10" s="1"/>
  <c r="O286" i="10" s="1"/>
  <c r="O287" i="10" s="1"/>
  <c r="O288" i="10" s="1"/>
  <c r="O289" i="10" s="1"/>
  <c r="O290" i="10" s="1"/>
  <c r="O291" i="10" s="1"/>
  <c r="O292" i="10" s="1"/>
  <c r="O293" i="10" s="1"/>
  <c r="O294" i="10" s="1"/>
  <c r="O295" i="10" s="1"/>
  <c r="O296" i="10" s="1"/>
  <c r="O297" i="10" s="1"/>
  <c r="O298" i="10" s="1"/>
  <c r="O299" i="10" s="1"/>
  <c r="O300" i="10" s="1"/>
  <c r="O301" i="10" s="1"/>
  <c r="O302" i="10" s="1"/>
  <c r="O303" i="10" s="1"/>
  <c r="O304" i="10" s="1"/>
  <c r="O305" i="10" s="1"/>
  <c r="O306" i="10" s="1"/>
  <c r="O307" i="10" s="1"/>
  <c r="O308" i="10" s="1"/>
  <c r="O309" i="10" s="1"/>
  <c r="O310" i="10" s="1"/>
  <c r="O311" i="10" s="1"/>
  <c r="O312" i="10" s="1"/>
  <c r="O313" i="10" s="1"/>
  <c r="O314" i="10" s="1"/>
  <c r="O315" i="10" s="1"/>
  <c r="O316" i="10" s="1"/>
  <c r="O317" i="10" s="1"/>
  <c r="O318" i="10" s="1"/>
  <c r="B318" i="10"/>
  <c r="C317" i="10"/>
  <c r="D364" i="10"/>
  <c r="M17" i="11" l="1"/>
  <c r="O136" i="8"/>
  <c r="N137" i="8" s="1"/>
  <c r="M137" i="8" s="1"/>
  <c r="C138" i="10" s="1"/>
  <c r="E137" i="10"/>
  <c r="C139" i="10"/>
  <c r="C318" i="10"/>
  <c r="B319" i="10"/>
  <c r="O319" i="10" s="1"/>
  <c r="D365" i="10"/>
  <c r="M18" i="11" l="1"/>
  <c r="O137" i="8"/>
  <c r="N138" i="8" s="1"/>
  <c r="M138" i="8" s="1"/>
  <c r="O138" i="8" s="1"/>
  <c r="E138" i="10"/>
  <c r="C319" i="10"/>
  <c r="D366" i="10"/>
  <c r="M19" i="11" l="1"/>
  <c r="M139" i="8"/>
  <c r="O139" i="8" s="1"/>
  <c r="N139" i="8"/>
  <c r="E319" i="10"/>
  <c r="D367" i="10"/>
  <c r="M20" i="11" l="1"/>
  <c r="E140" i="10"/>
  <c r="N140" i="8"/>
  <c r="L139" i="8"/>
  <c r="L140" i="8" s="1"/>
  <c r="C320" i="10"/>
  <c r="M21" i="11" l="1"/>
  <c r="L141" i="8"/>
  <c r="M140" i="8"/>
  <c r="O140" i="8" s="1"/>
  <c r="E367" i="10"/>
  <c r="B320" i="10"/>
  <c r="O320" i="10" s="1"/>
  <c r="M22" i="11" l="1"/>
  <c r="E141" i="10"/>
  <c r="N141" i="8"/>
  <c r="M141" i="8" s="1"/>
  <c r="O141" i="8" s="1"/>
  <c r="L142" i="8"/>
  <c r="B321" i="10"/>
  <c r="O321" i="10" s="1"/>
  <c r="M23" i="11" l="1"/>
  <c r="E142" i="10"/>
  <c r="N142" i="8"/>
  <c r="M142" i="8" s="1"/>
  <c r="O142" i="8" s="1"/>
  <c r="L143" i="8"/>
  <c r="C321" i="10"/>
  <c r="B322" i="10"/>
  <c r="O322" i="10" s="1"/>
  <c r="M24" i="11" l="1"/>
  <c r="E143" i="10"/>
  <c r="N143" i="8"/>
  <c r="M143" i="8" s="1"/>
  <c r="L144" i="8"/>
  <c r="B323" i="10"/>
  <c r="O323" i="10" s="1"/>
  <c r="E321" i="10"/>
  <c r="M25" i="11" l="1"/>
  <c r="C144" i="10"/>
  <c r="O143" i="8"/>
  <c r="L145" i="8"/>
  <c r="B324" i="10"/>
  <c r="O324" i="10" s="1"/>
  <c r="C323" i="10"/>
  <c r="D322" i="10"/>
  <c r="M26" i="11" l="1"/>
  <c r="L146" i="8"/>
  <c r="E144" i="10"/>
  <c r="N144" i="8"/>
  <c r="M144" i="8" s="1"/>
  <c r="O144" i="8" s="1"/>
  <c r="C324" i="10"/>
  <c r="C322" i="10"/>
  <c r="B325" i="10"/>
  <c r="O325" i="10" s="1"/>
  <c r="M27" i="11" l="1"/>
  <c r="E145" i="10"/>
  <c r="N145" i="8"/>
  <c r="M145" i="8" s="1"/>
  <c r="O145" i="8" s="1"/>
  <c r="L147" i="8"/>
  <c r="C325" i="10"/>
  <c r="B326" i="10"/>
  <c r="O326" i="10" s="1"/>
  <c r="M28" i="11" l="1"/>
  <c r="L148" i="8"/>
  <c r="E146" i="10"/>
  <c r="N146" i="8"/>
  <c r="M146" i="8" s="1"/>
  <c r="O146" i="8" s="1"/>
  <c r="C326" i="10"/>
  <c r="B327" i="10"/>
  <c r="O327" i="10" s="1"/>
  <c r="M29" i="11" l="1"/>
  <c r="E147" i="10"/>
  <c r="N147" i="8"/>
  <c r="M147" i="8" s="1"/>
  <c r="O147" i="8" s="1"/>
  <c r="L149" i="8"/>
  <c r="C327" i="10"/>
  <c r="B328" i="10"/>
  <c r="O328" i="10" s="1"/>
  <c r="M30" i="11" l="1"/>
  <c r="L150" i="8"/>
  <c r="E148" i="10"/>
  <c r="N148" i="8"/>
  <c r="M148" i="8" s="1"/>
  <c r="O148" i="8" s="1"/>
  <c r="C328" i="10"/>
  <c r="B329" i="10"/>
  <c r="O329" i="10" s="1"/>
  <c r="M31" i="11" l="1"/>
  <c r="E149" i="10"/>
  <c r="N149" i="8"/>
  <c r="M149" i="8" s="1"/>
  <c r="O149" i="8" s="1"/>
  <c r="C329" i="10"/>
  <c r="B330" i="10"/>
  <c r="O330" i="10" s="1"/>
  <c r="M32" i="11" l="1"/>
  <c r="E150" i="10"/>
  <c r="N150" i="8"/>
  <c r="M150" i="8" s="1"/>
  <c r="O150" i="8" s="1"/>
  <c r="C330" i="10"/>
  <c r="B331" i="10"/>
  <c r="O331" i="10" s="1"/>
  <c r="M33" i="11" l="1"/>
  <c r="M151" i="8"/>
  <c r="O151" i="8" s="1"/>
  <c r="N151" i="8"/>
  <c r="C331" i="10"/>
  <c r="E152" i="10" l="1"/>
  <c r="N152" i="8"/>
  <c r="L151" i="8"/>
  <c r="L152" i="8" s="1"/>
  <c r="E331" i="10"/>
  <c r="M152" i="8" l="1"/>
  <c r="O152" i="8" s="1"/>
  <c r="L153" i="8"/>
  <c r="C332" i="10"/>
  <c r="L154" i="8" l="1"/>
  <c r="E153" i="10"/>
  <c r="N153" i="8"/>
  <c r="M153" i="8" s="1"/>
  <c r="B332" i="10"/>
  <c r="O332" i="10" s="1"/>
  <c r="C154" i="10" l="1"/>
  <c r="O153" i="8"/>
  <c r="L155" i="8"/>
  <c r="B333" i="10"/>
  <c r="O333" i="10" s="1"/>
  <c r="E154" i="10" l="1"/>
  <c r="N154" i="8"/>
  <c r="M154" i="8" s="1"/>
  <c r="O154" i="8" s="1"/>
  <c r="L156" i="8"/>
  <c r="C333" i="10"/>
  <c r="B334" i="10"/>
  <c r="O334" i="10" s="1"/>
  <c r="E155" i="10" l="1"/>
  <c r="N155" i="8"/>
  <c r="M155" i="8" s="1"/>
  <c r="O155" i="8" s="1"/>
  <c r="L157" i="8"/>
  <c r="B335" i="10"/>
  <c r="O335" i="10" s="1"/>
  <c r="C334" i="10"/>
  <c r="E156" i="10" l="1"/>
  <c r="N156" i="8"/>
  <c r="M156" i="8" s="1"/>
  <c r="O156" i="8" s="1"/>
  <c r="L158" i="8"/>
  <c r="C335" i="10"/>
  <c r="B336" i="10"/>
  <c r="O336" i="10" s="1"/>
  <c r="L159" i="8" l="1"/>
  <c r="E157" i="10"/>
  <c r="N157" i="8"/>
  <c r="M157" i="8" s="1"/>
  <c r="O157" i="8" s="1"/>
  <c r="B337" i="10"/>
  <c r="O337" i="10" s="1"/>
  <c r="C336" i="10"/>
  <c r="E158" i="10" l="1"/>
  <c r="N158" i="8"/>
  <c r="M158" i="8" s="1"/>
  <c r="O158" i="8" s="1"/>
  <c r="L160" i="8"/>
  <c r="C337" i="10"/>
  <c r="B338" i="10"/>
  <c r="O338" i="10" s="1"/>
  <c r="L161" i="8" l="1"/>
  <c r="E159" i="10"/>
  <c r="N159" i="8"/>
  <c r="M159" i="8" s="1"/>
  <c r="O159" i="8" s="1"/>
  <c r="C338" i="10"/>
  <c r="B339" i="10"/>
  <c r="O339" i="10" s="1"/>
  <c r="E160" i="10" l="1"/>
  <c r="N160" i="8"/>
  <c r="M160" i="8" s="1"/>
  <c r="O160" i="8" s="1"/>
  <c r="L162" i="8"/>
  <c r="C339" i="10"/>
  <c r="B340" i="10"/>
  <c r="O340" i="10" s="1"/>
  <c r="E161" i="10" l="1"/>
  <c r="N161" i="8"/>
  <c r="M161" i="8" s="1"/>
  <c r="O161" i="8" s="1"/>
  <c r="C340" i="10"/>
  <c r="B341" i="10"/>
  <c r="O341" i="10" s="1"/>
  <c r="E162" i="10" l="1"/>
  <c r="N162" i="8"/>
  <c r="M162" i="8" s="1"/>
  <c r="O162" i="8" s="1"/>
  <c r="B342" i="10"/>
  <c r="O342" i="10" s="1"/>
  <c r="C341" i="10"/>
  <c r="M163" i="8" l="1"/>
  <c r="N163" i="8"/>
  <c r="B343" i="10"/>
  <c r="O343" i="10" s="1"/>
  <c r="C342" i="10"/>
  <c r="M34" i="11" l="1"/>
  <c r="L163" i="8"/>
  <c r="L164" i="8" s="1"/>
  <c r="L165" i="8" s="1"/>
  <c r="O163" i="8"/>
  <c r="C343" i="10"/>
  <c r="L166" i="8" l="1"/>
  <c r="E164" i="10"/>
  <c r="N164" i="8"/>
  <c r="M164" i="8" s="1"/>
  <c r="O164" i="8" s="1"/>
  <c r="E343" i="10"/>
  <c r="E165" i="10" l="1"/>
  <c r="N165" i="8"/>
  <c r="M165" i="8" s="1"/>
  <c r="O165" i="8" s="1"/>
  <c r="L167" i="8"/>
  <c r="C344" i="10"/>
  <c r="E166" i="10" l="1"/>
  <c r="N166" i="8"/>
  <c r="M166" i="8" s="1"/>
  <c r="C167" i="10" s="1"/>
  <c r="L168" i="8"/>
  <c r="B344" i="10"/>
  <c r="O344" i="10" s="1"/>
  <c r="L169" i="8" l="1"/>
  <c r="O166" i="8"/>
  <c r="B345" i="10"/>
  <c r="O345" i="10" s="1"/>
  <c r="E167" i="10" l="1"/>
  <c r="N167" i="8"/>
  <c r="M167" i="8" s="1"/>
  <c r="C168" i="10" s="1"/>
  <c r="L170" i="8"/>
  <c r="C345" i="10"/>
  <c r="B346" i="10"/>
  <c r="O346" i="10" s="1"/>
  <c r="O167" i="8" l="1"/>
  <c r="N168" i="8" s="1"/>
  <c r="M168" i="8" s="1"/>
  <c r="O168" i="8" s="1"/>
  <c r="E168" i="10"/>
  <c r="L171" i="8"/>
  <c r="E345" i="10"/>
  <c r="B347" i="10"/>
  <c r="O347" i="10" s="1"/>
  <c r="E169" i="10" l="1"/>
  <c r="N169" i="8"/>
  <c r="M169" i="8" s="1"/>
  <c r="O169" i="8" s="1"/>
  <c r="L172" i="8"/>
  <c r="C347" i="10"/>
  <c r="D346" i="10"/>
  <c r="B348" i="10"/>
  <c r="O348" i="10" s="1"/>
  <c r="L173" i="8" l="1"/>
  <c r="E170" i="10"/>
  <c r="N170" i="8"/>
  <c r="M170" i="8" s="1"/>
  <c r="O170" i="8" s="1"/>
  <c r="C346" i="10"/>
  <c r="B349" i="10"/>
  <c r="O349" i="10" s="1"/>
  <c r="C348" i="10"/>
  <c r="E171" i="10" l="1"/>
  <c r="N171" i="8"/>
  <c r="M171" i="8" s="1"/>
  <c r="O171" i="8" s="1"/>
  <c r="L174" i="8"/>
  <c r="C349" i="10"/>
  <c r="B350" i="10"/>
  <c r="O350" i="10" s="1"/>
  <c r="E172" i="10" l="1"/>
  <c r="N172" i="8"/>
  <c r="M172" i="8" s="1"/>
  <c r="O172" i="8" s="1"/>
  <c r="C350" i="10"/>
  <c r="B351" i="10"/>
  <c r="O351" i="10" s="1"/>
  <c r="E173" i="10" l="1"/>
  <c r="N173" i="8"/>
  <c r="M173" i="8" s="1"/>
  <c r="O173" i="8" s="1"/>
  <c r="C351" i="10"/>
  <c r="B352" i="10"/>
  <c r="O352" i="10" s="1"/>
  <c r="E174" i="10" l="1"/>
  <c r="N174" i="8"/>
  <c r="M174" i="8" s="1"/>
  <c r="O174" i="8" s="1"/>
  <c r="C352" i="10"/>
  <c r="B353" i="10"/>
  <c r="O353" i="10" s="1"/>
  <c r="M175" i="8" l="1"/>
  <c r="N175" i="8"/>
  <c r="C353" i="10"/>
  <c r="B354" i="10"/>
  <c r="O354" i="10" s="1"/>
  <c r="L175" i="8" l="1"/>
  <c r="L176" i="8" s="1"/>
  <c r="L177" i="8" s="1"/>
  <c r="O175" i="8"/>
  <c r="C354" i="10"/>
  <c r="B355" i="10"/>
  <c r="O355" i="10" s="1"/>
  <c r="M35" i="11" l="1"/>
  <c r="L178" i="8"/>
  <c r="E176" i="10"/>
  <c r="N176" i="8"/>
  <c r="C355" i="10"/>
  <c r="D177" i="10" l="1"/>
  <c r="M176" i="8"/>
  <c r="O176" i="8" s="1"/>
  <c r="L179" i="8"/>
  <c r="E355" i="10"/>
  <c r="L180" i="8" l="1"/>
  <c r="E177" i="10"/>
  <c r="N177" i="8"/>
  <c r="M177" i="8" s="1"/>
  <c r="O177" i="8" s="1"/>
  <c r="C356" i="10"/>
  <c r="E178" i="10" l="1"/>
  <c r="N178" i="8"/>
  <c r="M178" i="8" s="1"/>
  <c r="O178" i="8" s="1"/>
  <c r="L181" i="8"/>
  <c r="B356" i="10"/>
  <c r="O356" i="10" s="1"/>
  <c r="L182" i="8" l="1"/>
  <c r="E179" i="10"/>
  <c r="N179" i="8"/>
  <c r="M179" i="8" s="1"/>
  <c r="O179" i="8" s="1"/>
  <c r="B357" i="10"/>
  <c r="O357" i="10" s="1"/>
  <c r="E180" i="10" l="1"/>
  <c r="N180" i="8"/>
  <c r="M180" i="8" s="1"/>
  <c r="O180" i="8" s="1"/>
  <c r="L183" i="8"/>
  <c r="C357" i="10"/>
  <c r="B358" i="10"/>
  <c r="O358" i="10" s="1"/>
  <c r="L184" i="8" l="1"/>
  <c r="E181" i="10"/>
  <c r="N181" i="8"/>
  <c r="M181" i="8" s="1"/>
  <c r="O181" i="8" s="1"/>
  <c r="B359" i="10"/>
  <c r="O359" i="10" s="1"/>
  <c r="E357" i="10"/>
  <c r="E182" i="10" l="1"/>
  <c r="N182" i="8"/>
  <c r="M182" i="8" s="1"/>
  <c r="O182" i="8" s="1"/>
  <c r="L185" i="8"/>
  <c r="C359" i="10"/>
  <c r="B360" i="10"/>
  <c r="O360" i="10" s="1"/>
  <c r="D358" i="10"/>
  <c r="L186" i="8" l="1"/>
  <c r="E183" i="10"/>
  <c r="N183" i="8"/>
  <c r="B361" i="10"/>
  <c r="O361" i="10" s="1"/>
  <c r="C358" i="10"/>
  <c r="C360" i="10"/>
  <c r="M183" i="8" l="1"/>
  <c r="O183" i="8" s="1"/>
  <c r="C361" i="10"/>
  <c r="B362" i="10"/>
  <c r="O362" i="10" s="1"/>
  <c r="E184" i="10" l="1"/>
  <c r="N184" i="8"/>
  <c r="C362" i="10"/>
  <c r="B363" i="10"/>
  <c r="O363" i="10" s="1"/>
  <c r="M184" i="8" l="1"/>
  <c r="O184" i="8" s="1"/>
  <c r="C363" i="10"/>
  <c r="B364" i="10"/>
  <c r="O364" i="10" s="1"/>
  <c r="E185" i="10" l="1"/>
  <c r="N185" i="8"/>
  <c r="C364" i="10"/>
  <c r="B365" i="10"/>
  <c r="O365" i="10" s="1"/>
  <c r="M185" i="8" l="1"/>
  <c r="O185" i="8" s="1"/>
  <c r="C365" i="10"/>
  <c r="B366" i="10"/>
  <c r="O366" i="10" s="1"/>
  <c r="E186" i="10" l="1"/>
  <c r="N186" i="8"/>
  <c r="C366" i="10"/>
  <c r="B367" i="10"/>
  <c r="O367" i="10" s="1"/>
  <c r="M36" i="11" l="1"/>
  <c r="M186" i="8"/>
  <c r="O186" i="8" s="1"/>
  <c r="C367" i="10"/>
  <c r="M187" i="8" l="1"/>
  <c r="O187" i="8" s="1"/>
  <c r="N187" i="8"/>
  <c r="E188" i="10" l="1"/>
  <c r="N188" i="8"/>
  <c r="D189" i="10" s="1"/>
  <c r="D188" i="10"/>
  <c r="L187" i="8"/>
  <c r="L188" i="8" s="1"/>
  <c r="M188" i="8" l="1"/>
  <c r="O188" i="8" s="1"/>
  <c r="L189" i="8"/>
  <c r="L190" i="8" l="1"/>
  <c r="N189" i="8"/>
  <c r="M189" i="8" s="1"/>
  <c r="O189" i="8" s="1"/>
  <c r="E190" i="10" l="1"/>
  <c r="N190" i="8"/>
  <c r="M190" i="8" s="1"/>
  <c r="O190" i="8" s="1"/>
  <c r="L191" i="8"/>
  <c r="E191" i="10" l="1"/>
  <c r="N191" i="8"/>
  <c r="M191" i="8" s="1"/>
  <c r="O191" i="8" s="1"/>
  <c r="L192" i="8"/>
  <c r="E192" i="10" l="1"/>
  <c r="N192" i="8"/>
  <c r="M192" i="8" s="1"/>
  <c r="O192" i="8" s="1"/>
  <c r="L193" i="8"/>
  <c r="E193" i="10" l="1"/>
  <c r="N193" i="8"/>
  <c r="M193" i="8" s="1"/>
  <c r="O193" i="8" s="1"/>
  <c r="L194" i="8"/>
  <c r="E194" i="10" l="1"/>
  <c r="N194" i="8"/>
  <c r="M194" i="8" s="1"/>
  <c r="O194" i="8" s="1"/>
  <c r="L195" i="8"/>
  <c r="E195" i="10" l="1"/>
  <c r="N195" i="8"/>
  <c r="M195" i="8" s="1"/>
  <c r="O195" i="8" s="1"/>
  <c r="L196" i="8"/>
  <c r="E196" i="10" l="1"/>
  <c r="N196" i="8"/>
  <c r="M196" i="8" s="1"/>
  <c r="O196" i="8" s="1"/>
  <c r="L197" i="8"/>
  <c r="E197" i="10" l="1"/>
  <c r="N197" i="8"/>
  <c r="M197" i="8" s="1"/>
  <c r="O197" i="8" s="1"/>
  <c r="L198" i="8"/>
  <c r="E198" i="10" l="1"/>
  <c r="N198" i="8"/>
  <c r="M198" i="8" s="1"/>
  <c r="O198" i="8" s="1"/>
  <c r="M199" i="8" l="1"/>
  <c r="O199" i="8" s="1"/>
  <c r="N199" i="8"/>
  <c r="E200" i="10" l="1"/>
  <c r="N200" i="8"/>
  <c r="L199" i="8"/>
  <c r="L200" i="8" s="1"/>
  <c r="L201" i="8" l="1"/>
  <c r="M200" i="8"/>
  <c r="O200" i="8" s="1"/>
  <c r="L202" i="8" l="1"/>
  <c r="E201" i="10"/>
  <c r="N201" i="8"/>
  <c r="M201" i="8" s="1"/>
  <c r="O201" i="8" s="1"/>
  <c r="E202" i="10" l="1"/>
  <c r="N202" i="8"/>
  <c r="M202" i="8" s="1"/>
  <c r="O202" i="8" s="1"/>
  <c r="L203" i="8"/>
  <c r="E203" i="10" l="1"/>
  <c r="N203" i="8"/>
  <c r="M203" i="8" s="1"/>
  <c r="O203" i="8" s="1"/>
  <c r="L204" i="8"/>
  <c r="E204" i="10" l="1"/>
  <c r="N204" i="8"/>
  <c r="M204" i="8" s="1"/>
  <c r="O204" i="8" s="1"/>
  <c r="L205" i="8"/>
  <c r="E205" i="10" l="1"/>
  <c r="N205" i="8"/>
  <c r="M205" i="8" s="1"/>
  <c r="O205" i="8" s="1"/>
  <c r="L206" i="8"/>
  <c r="E206" i="10" l="1"/>
  <c r="N206" i="8"/>
  <c r="M206" i="8" s="1"/>
  <c r="O206" i="8" s="1"/>
  <c r="L207" i="8"/>
  <c r="E207" i="10" l="1"/>
  <c r="N207" i="8"/>
  <c r="M207" i="8" s="1"/>
  <c r="O207" i="8" s="1"/>
  <c r="L208" i="8"/>
  <c r="E208" i="10" l="1"/>
  <c r="N208" i="8"/>
  <c r="M208" i="8" s="1"/>
  <c r="O208" i="8" s="1"/>
  <c r="L209" i="8"/>
  <c r="E209" i="10" l="1"/>
  <c r="N209" i="8"/>
  <c r="M209" i="8" s="1"/>
  <c r="O209" i="8" s="1"/>
  <c r="L210" i="8"/>
  <c r="E210" i="10" l="1"/>
  <c r="N210" i="8"/>
  <c r="M210" i="8" s="1"/>
  <c r="O210" i="8" s="1"/>
  <c r="M211" i="8" l="1"/>
  <c r="O211" i="8" s="1"/>
  <c r="N211" i="8"/>
  <c r="E212" i="10" l="1"/>
  <c r="N212" i="8"/>
  <c r="D213" i="10" s="1"/>
  <c r="L211" i="8"/>
  <c r="L212" i="8" s="1"/>
  <c r="L213" i="8" l="1"/>
  <c r="M212" i="8"/>
  <c r="O212" i="8" s="1"/>
  <c r="E213" i="10" l="1"/>
  <c r="N213" i="8"/>
  <c r="M213" i="8" s="1"/>
  <c r="O213" i="8" s="1"/>
  <c r="L214" i="8"/>
  <c r="E214" i="10" l="1"/>
  <c r="N214" i="8"/>
  <c r="M214" i="8" s="1"/>
  <c r="O214" i="8" s="1"/>
  <c r="L215" i="8"/>
  <c r="E215" i="10" l="1"/>
  <c r="N215" i="8"/>
  <c r="M215" i="8" s="1"/>
  <c r="O215" i="8" s="1"/>
  <c r="L216" i="8"/>
  <c r="E216" i="10" l="1"/>
  <c r="N216" i="8"/>
  <c r="M216" i="8" s="1"/>
  <c r="O216" i="8" s="1"/>
  <c r="L217" i="8"/>
  <c r="E217" i="10" l="1"/>
  <c r="N217" i="8"/>
  <c r="M217" i="8" s="1"/>
  <c r="O217" i="8" s="1"/>
  <c r="L218" i="8"/>
  <c r="E218" i="10" l="1"/>
  <c r="N218" i="8"/>
  <c r="M218" i="8" s="1"/>
  <c r="O218" i="8" s="1"/>
  <c r="L219" i="8"/>
  <c r="E219" i="10" l="1"/>
  <c r="N219" i="8"/>
  <c r="M219" i="8" s="1"/>
  <c r="O219" i="8" s="1"/>
  <c r="L220" i="8"/>
  <c r="E220" i="10" l="1"/>
  <c r="N220" i="8"/>
  <c r="M220" i="8" s="1"/>
  <c r="O220" i="8" s="1"/>
  <c r="L221" i="8"/>
  <c r="E221" i="10" l="1"/>
  <c r="N221" i="8"/>
  <c r="M221" i="8" s="1"/>
  <c r="O221" i="8" s="1"/>
  <c r="L222" i="8"/>
  <c r="E222" i="10" l="1"/>
  <c r="N222" i="8"/>
  <c r="M222" i="8" s="1"/>
  <c r="O222" i="8" s="1"/>
  <c r="M223" i="8" l="1"/>
  <c r="O223" i="8" s="1"/>
  <c r="N223" i="8"/>
  <c r="E224" i="10" l="1"/>
  <c r="N224" i="8"/>
  <c r="D225" i="10" s="1"/>
  <c r="L223" i="8"/>
  <c r="L224" i="8" s="1"/>
  <c r="L225" i="8" l="1"/>
  <c r="M224" i="8"/>
  <c r="O224" i="8" s="1"/>
  <c r="E225" i="10" l="1"/>
  <c r="N225" i="8"/>
  <c r="M225" i="8" s="1"/>
  <c r="O225" i="8" s="1"/>
  <c r="L226" i="8"/>
  <c r="E226" i="10" l="1"/>
  <c r="N226" i="8"/>
  <c r="M226" i="8" s="1"/>
  <c r="O226" i="8" s="1"/>
  <c r="L227" i="8"/>
  <c r="E227" i="10" l="1"/>
  <c r="N227" i="8"/>
  <c r="M227" i="8" s="1"/>
  <c r="O227" i="8" s="1"/>
  <c r="L228" i="8"/>
  <c r="E228" i="10" l="1"/>
  <c r="N228" i="8"/>
  <c r="M228" i="8" s="1"/>
  <c r="O228" i="8" s="1"/>
  <c r="L229" i="8"/>
  <c r="E229" i="10" l="1"/>
  <c r="N229" i="8"/>
  <c r="M229" i="8" s="1"/>
  <c r="O229" i="8" s="1"/>
  <c r="L230" i="8"/>
  <c r="E230" i="10" l="1"/>
  <c r="N230" i="8"/>
  <c r="M230" i="8" s="1"/>
  <c r="O230" i="8" s="1"/>
  <c r="L231" i="8"/>
  <c r="E231" i="10" l="1"/>
  <c r="N231" i="8"/>
  <c r="M231" i="8" s="1"/>
  <c r="O231" i="8" s="1"/>
  <c r="L232" i="8"/>
  <c r="E232" i="10" l="1"/>
  <c r="N232" i="8"/>
  <c r="M232" i="8" s="1"/>
  <c r="O232" i="8" s="1"/>
  <c r="L233" i="8"/>
  <c r="E233" i="10" l="1"/>
  <c r="N233" i="8"/>
  <c r="M233" i="8" s="1"/>
  <c r="O233" i="8" s="1"/>
  <c r="L234" i="8"/>
  <c r="E234" i="10" l="1"/>
  <c r="N234" i="8"/>
  <c r="M234" i="8" s="1"/>
  <c r="O234" i="8" s="1"/>
  <c r="M235" i="8" l="1"/>
  <c r="N235" i="8"/>
  <c r="L235" i="8" l="1"/>
  <c r="L236" i="8" s="1"/>
  <c r="L237" i="8" s="1"/>
  <c r="O235" i="8"/>
  <c r="E236" i="10" l="1"/>
  <c r="N236" i="8"/>
  <c r="L238" i="8"/>
  <c r="L239" i="8" l="1"/>
  <c r="D237" i="10"/>
  <c r="M236" i="8"/>
  <c r="O236" i="8" s="1"/>
  <c r="E237" i="10" l="1"/>
  <c r="N237" i="8"/>
  <c r="M237" i="8" s="1"/>
  <c r="O237" i="8" s="1"/>
  <c r="L240" i="8"/>
  <c r="E238" i="10" l="1"/>
  <c r="N238" i="8"/>
  <c r="M238" i="8" s="1"/>
  <c r="O238" i="8" s="1"/>
  <c r="L241" i="8"/>
  <c r="E239" i="10" l="1"/>
  <c r="N239" i="8"/>
  <c r="M239" i="8" s="1"/>
  <c r="O239" i="8" s="1"/>
  <c r="L242" i="8"/>
  <c r="E240" i="10" l="1"/>
  <c r="N240" i="8"/>
  <c r="M240" i="8" s="1"/>
  <c r="O240" i="8" s="1"/>
  <c r="L243" i="8"/>
  <c r="E241" i="10" l="1"/>
  <c r="N241" i="8"/>
  <c r="M241" i="8" s="1"/>
  <c r="O241" i="8" s="1"/>
  <c r="L244" i="8"/>
  <c r="E242" i="10" l="1"/>
  <c r="N242" i="8"/>
  <c r="M242" i="8" s="1"/>
  <c r="O242" i="8" s="1"/>
  <c r="L245" i="8"/>
  <c r="L246" i="8" l="1"/>
  <c r="E243" i="10"/>
  <c r="N243" i="8"/>
  <c r="M243" i="8" s="1"/>
  <c r="O243" i="8" s="1"/>
  <c r="E244" i="10" l="1"/>
  <c r="N244" i="8"/>
  <c r="M244" i="8" s="1"/>
  <c r="O244" i="8" s="1"/>
  <c r="E245" i="10" l="1"/>
  <c r="N245" i="8"/>
  <c r="M245" i="8" s="1"/>
  <c r="O245" i="8" s="1"/>
  <c r="E246" i="10" l="1"/>
  <c r="N246" i="8"/>
  <c r="M246" i="8" s="1"/>
  <c r="O246" i="8" s="1"/>
  <c r="M247" i="8" l="1"/>
  <c r="O247" i="8" s="1"/>
  <c r="N247" i="8"/>
  <c r="E248" i="10" l="1"/>
  <c r="N248" i="8"/>
  <c r="D249" i="10" s="1"/>
  <c r="L247" i="8"/>
  <c r="L248" i="8" s="1"/>
  <c r="L249" i="8" l="1"/>
  <c r="M248" i="8"/>
  <c r="O248" i="8" s="1"/>
  <c r="E249" i="10" l="1"/>
  <c r="N249" i="8"/>
  <c r="M249" i="8" s="1"/>
  <c r="O249" i="8" s="1"/>
  <c r="L250" i="8"/>
  <c r="E250" i="10" l="1"/>
  <c r="N250" i="8"/>
  <c r="M250" i="8" s="1"/>
  <c r="O250" i="8" s="1"/>
  <c r="L251" i="8"/>
  <c r="E251" i="10" l="1"/>
  <c r="N251" i="8"/>
  <c r="M251" i="8" s="1"/>
  <c r="O251" i="8" s="1"/>
  <c r="L252" i="8"/>
  <c r="E252" i="10" l="1"/>
  <c r="N252" i="8"/>
  <c r="M252" i="8" s="1"/>
  <c r="O252" i="8" s="1"/>
  <c r="L253" i="8"/>
  <c r="E253" i="10" l="1"/>
  <c r="N253" i="8"/>
  <c r="M253" i="8" s="1"/>
  <c r="O253" i="8" s="1"/>
  <c r="L254" i="8"/>
  <c r="E254" i="10" l="1"/>
  <c r="N254" i="8"/>
  <c r="M254" i="8" s="1"/>
  <c r="O254" i="8" s="1"/>
  <c r="L255" i="8"/>
  <c r="E255" i="10" l="1"/>
  <c r="N255" i="8"/>
  <c r="M255" i="8" s="1"/>
  <c r="O255" i="8" s="1"/>
  <c r="L256" i="8"/>
  <c r="E256" i="10" l="1"/>
  <c r="N256" i="8"/>
  <c r="M256" i="8" s="1"/>
  <c r="O256" i="8" s="1"/>
  <c r="L257" i="8"/>
  <c r="E257" i="10" l="1"/>
  <c r="N257" i="8"/>
  <c r="M257" i="8" s="1"/>
  <c r="O257" i="8" s="1"/>
  <c r="L258" i="8"/>
  <c r="E258" i="10" l="1"/>
  <c r="N258" i="8"/>
  <c r="M258" i="8" s="1"/>
  <c r="O258" i="8" s="1"/>
  <c r="M259" i="8" l="1"/>
  <c r="O259" i="8" s="1"/>
  <c r="N259" i="8"/>
  <c r="E260" i="10" l="1"/>
  <c r="N260" i="8"/>
  <c r="L259" i="8"/>
  <c r="L260" i="8" s="1"/>
  <c r="L261" i="8" l="1"/>
  <c r="M260" i="8"/>
  <c r="O260" i="8" s="1"/>
  <c r="E261" i="10" l="1"/>
  <c r="N261" i="8"/>
  <c r="M261" i="8" s="1"/>
  <c r="O261" i="8" s="1"/>
  <c r="L262" i="8"/>
  <c r="E262" i="10" l="1"/>
  <c r="N262" i="8"/>
  <c r="M262" i="8" s="1"/>
  <c r="O262" i="8" s="1"/>
  <c r="L263" i="8"/>
  <c r="E263" i="10" l="1"/>
  <c r="N263" i="8"/>
  <c r="M263" i="8" s="1"/>
  <c r="O263" i="8" s="1"/>
  <c r="L264" i="8"/>
  <c r="E264" i="10" l="1"/>
  <c r="N264" i="8"/>
  <c r="M264" i="8" s="1"/>
  <c r="O264" i="8" s="1"/>
  <c r="L265" i="8"/>
  <c r="E265" i="10" l="1"/>
  <c r="N265" i="8"/>
  <c r="M265" i="8" s="1"/>
  <c r="O265" i="8" s="1"/>
  <c r="L266" i="8"/>
  <c r="E266" i="10" l="1"/>
  <c r="N266" i="8"/>
  <c r="M266" i="8" s="1"/>
  <c r="C267" i="10" s="1"/>
  <c r="L267" i="8"/>
  <c r="O266" i="8" l="1"/>
  <c r="L268" i="8"/>
  <c r="L269" i="8" l="1"/>
  <c r="E267" i="10"/>
  <c r="N267" i="8"/>
  <c r="M267" i="8" s="1"/>
  <c r="O267" i="8" s="1"/>
  <c r="E268" i="10" l="1"/>
  <c r="N268" i="8"/>
  <c r="M268" i="8" s="1"/>
  <c r="O268" i="8" s="1"/>
  <c r="L270" i="8"/>
  <c r="E269" i="10" l="1"/>
  <c r="N269" i="8"/>
  <c r="M269" i="8" s="1"/>
  <c r="O269" i="8" s="1"/>
  <c r="E270" i="10" l="1"/>
  <c r="N270" i="8"/>
  <c r="M270" i="8" s="1"/>
  <c r="O270" i="8" s="1"/>
  <c r="M271" i="8" l="1"/>
  <c r="O271" i="8" s="1"/>
  <c r="N271" i="8"/>
  <c r="E272" i="10" l="1"/>
  <c r="N272" i="8"/>
  <c r="D273" i="10" s="1"/>
  <c r="L271" i="8"/>
  <c r="L272" i="8" s="1"/>
  <c r="M272" i="8" l="1"/>
  <c r="O272" i="8" s="1"/>
  <c r="L273" i="8"/>
  <c r="L274" i="8" l="1"/>
  <c r="E273" i="10"/>
  <c r="N273" i="8"/>
  <c r="M273" i="8" s="1"/>
  <c r="O273" i="8" s="1"/>
  <c r="E274" i="10" l="1"/>
  <c r="N274" i="8"/>
  <c r="M274" i="8" s="1"/>
  <c r="O274" i="8" s="1"/>
  <c r="L275" i="8"/>
  <c r="E275" i="10" l="1"/>
  <c r="N275" i="8"/>
  <c r="M275" i="8" s="1"/>
  <c r="O275" i="8" s="1"/>
  <c r="L276" i="8"/>
  <c r="E276" i="10" l="1"/>
  <c r="N276" i="8"/>
  <c r="M276" i="8" s="1"/>
  <c r="O276" i="8" s="1"/>
  <c r="L277" i="8"/>
  <c r="E277" i="10" l="1"/>
  <c r="N277" i="8"/>
  <c r="M277" i="8" s="1"/>
  <c r="O277" i="8" s="1"/>
  <c r="L278" i="8"/>
  <c r="E278" i="10" l="1"/>
  <c r="N278" i="8"/>
  <c r="M278" i="8" s="1"/>
  <c r="O278" i="8" s="1"/>
  <c r="L279" i="8"/>
  <c r="E279" i="10" l="1"/>
  <c r="N279" i="8"/>
  <c r="M279" i="8" s="1"/>
  <c r="O279" i="8" s="1"/>
  <c r="L280" i="8"/>
  <c r="E280" i="10" l="1"/>
  <c r="N280" i="8"/>
  <c r="M280" i="8" s="1"/>
  <c r="O280" i="8" s="1"/>
  <c r="L281" i="8"/>
  <c r="E281" i="10" l="1"/>
  <c r="N281" i="8"/>
  <c r="M281" i="8" s="1"/>
  <c r="O281" i="8" s="1"/>
  <c r="L282" i="8"/>
  <c r="E282" i="10" l="1"/>
  <c r="N282" i="8"/>
  <c r="M282" i="8" s="1"/>
  <c r="O282" i="8" s="1"/>
  <c r="M283" i="8" l="1"/>
  <c r="O283" i="8" s="1"/>
  <c r="N283" i="8"/>
  <c r="E284" i="10" l="1"/>
  <c r="N284" i="8"/>
  <c r="D285" i="10" s="1"/>
  <c r="L283" i="8"/>
  <c r="L284" i="8" s="1"/>
  <c r="L285" i="8" l="1"/>
  <c r="M284" i="8"/>
  <c r="O284" i="8" s="1"/>
  <c r="L286" i="8" l="1"/>
  <c r="E285" i="10"/>
  <c r="N285" i="8"/>
  <c r="M285" i="8" s="1"/>
  <c r="O285" i="8" s="1"/>
  <c r="E286" i="10" l="1"/>
  <c r="N286" i="8"/>
  <c r="M286" i="8" s="1"/>
  <c r="O286" i="8" s="1"/>
  <c r="L287" i="8"/>
  <c r="E287" i="10" l="1"/>
  <c r="N287" i="8"/>
  <c r="M287" i="8" s="1"/>
  <c r="O287" i="8" s="1"/>
  <c r="L288" i="8"/>
  <c r="E288" i="10" l="1"/>
  <c r="N288" i="8"/>
  <c r="M288" i="8" s="1"/>
  <c r="O288" i="8" s="1"/>
  <c r="L289" i="8"/>
  <c r="E289" i="10" l="1"/>
  <c r="N289" i="8"/>
  <c r="M289" i="8" s="1"/>
  <c r="O289" i="8" s="1"/>
  <c r="L290" i="8"/>
  <c r="E290" i="10" l="1"/>
  <c r="N290" i="8"/>
  <c r="M290" i="8" s="1"/>
  <c r="O290" i="8" s="1"/>
  <c r="L291" i="8"/>
  <c r="E291" i="10" l="1"/>
  <c r="N291" i="8"/>
  <c r="M291" i="8" s="1"/>
  <c r="O291" i="8" s="1"/>
  <c r="L292" i="8"/>
  <c r="E292" i="10" l="1"/>
  <c r="N292" i="8"/>
  <c r="M292" i="8" s="1"/>
  <c r="O292" i="8" s="1"/>
  <c r="L293" i="8"/>
  <c r="E293" i="10" l="1"/>
  <c r="N293" i="8"/>
  <c r="M293" i="8" s="1"/>
  <c r="O293" i="8" s="1"/>
  <c r="L294" i="8"/>
  <c r="E294" i="10" l="1"/>
  <c r="N294" i="8"/>
  <c r="M294" i="8" s="1"/>
  <c r="O294" i="8" s="1"/>
  <c r="M295" i="8" l="1"/>
  <c r="O295" i="8" s="1"/>
  <c r="N295" i="8"/>
  <c r="E296" i="10" l="1"/>
  <c r="N296" i="8"/>
  <c r="D297" i="10" s="1"/>
  <c r="L295" i="8"/>
  <c r="L296" i="8" s="1"/>
  <c r="M296" i="8" l="1"/>
  <c r="O296" i="8" s="1"/>
  <c r="L297" i="8"/>
  <c r="L298" i="8" l="1"/>
  <c r="N297" i="8"/>
  <c r="M297" i="8" s="1"/>
  <c r="O297" i="8" s="1"/>
  <c r="E298" i="10" l="1"/>
  <c r="N298" i="8"/>
  <c r="M298" i="8" s="1"/>
  <c r="O298" i="8" s="1"/>
  <c r="L299" i="8"/>
  <c r="E299" i="10" l="1"/>
  <c r="N299" i="8"/>
  <c r="M299" i="8" s="1"/>
  <c r="O299" i="8" s="1"/>
  <c r="L300" i="8"/>
  <c r="E300" i="10" l="1"/>
  <c r="N300" i="8"/>
  <c r="M300" i="8" s="1"/>
  <c r="O300" i="8" s="1"/>
  <c r="L301" i="8"/>
  <c r="E301" i="10" l="1"/>
  <c r="N301" i="8"/>
  <c r="M301" i="8" s="1"/>
  <c r="O301" i="8" s="1"/>
  <c r="L302" i="8"/>
  <c r="E302" i="10" l="1"/>
  <c r="N302" i="8"/>
  <c r="M302" i="8" s="1"/>
  <c r="O302" i="8" s="1"/>
  <c r="L303" i="8"/>
  <c r="E303" i="10" l="1"/>
  <c r="N303" i="8"/>
  <c r="M303" i="8" s="1"/>
  <c r="O303" i="8" s="1"/>
  <c r="L304" i="8"/>
  <c r="E304" i="10" l="1"/>
  <c r="N304" i="8"/>
  <c r="M304" i="8" s="1"/>
  <c r="O304" i="8" s="1"/>
  <c r="L305" i="8"/>
  <c r="E305" i="10" l="1"/>
  <c r="N305" i="8"/>
  <c r="M305" i="8" s="1"/>
  <c r="O305" i="8" s="1"/>
  <c r="L306" i="8"/>
  <c r="E306" i="10" l="1"/>
  <c r="N306" i="8"/>
  <c r="M306" i="8" s="1"/>
  <c r="O306" i="8" s="1"/>
  <c r="M307" i="8" l="1"/>
  <c r="O307" i="8" s="1"/>
  <c r="N307" i="8"/>
  <c r="E308" i="10" l="1"/>
  <c r="N308" i="8"/>
  <c r="D309" i="10" s="1"/>
  <c r="L307" i="8"/>
  <c r="L308" i="8" s="1"/>
  <c r="L309" i="8" l="1"/>
  <c r="M308" i="8"/>
  <c r="O308" i="8" s="1"/>
  <c r="E309" i="10" l="1"/>
  <c r="N309" i="8"/>
  <c r="M309" i="8" s="1"/>
  <c r="O309" i="8" s="1"/>
  <c r="L310" i="8"/>
  <c r="E310" i="10" l="1"/>
  <c r="N310" i="8"/>
  <c r="M310" i="8" s="1"/>
  <c r="O310" i="8" s="1"/>
  <c r="L311" i="8"/>
  <c r="E311" i="10" l="1"/>
  <c r="N311" i="8"/>
  <c r="M311" i="8" s="1"/>
  <c r="O311" i="8" s="1"/>
  <c r="L312" i="8"/>
  <c r="E312" i="10" l="1"/>
  <c r="N312" i="8"/>
  <c r="M312" i="8" s="1"/>
  <c r="O312" i="8" s="1"/>
  <c r="L313" i="8"/>
  <c r="E313" i="10" l="1"/>
  <c r="N313" i="8"/>
  <c r="M313" i="8" s="1"/>
  <c r="O313" i="8" s="1"/>
  <c r="L314" i="8"/>
  <c r="E314" i="10" l="1"/>
  <c r="N314" i="8"/>
  <c r="M314" i="8" s="1"/>
  <c r="O314" i="8" s="1"/>
  <c r="L315" i="8"/>
  <c r="E315" i="10" l="1"/>
  <c r="N315" i="8"/>
  <c r="M315" i="8" s="1"/>
  <c r="O315" i="8" s="1"/>
  <c r="L316" i="8"/>
  <c r="E316" i="10" l="1"/>
  <c r="N316" i="8"/>
  <c r="M316" i="8" s="1"/>
  <c r="O316" i="8" s="1"/>
  <c r="L317" i="8"/>
  <c r="E317" i="10" l="1"/>
  <c r="N317" i="8"/>
  <c r="M317" i="8" s="1"/>
  <c r="O317" i="8" s="1"/>
  <c r="L318" i="8"/>
  <c r="E318" i="10" l="1"/>
  <c r="N318" i="8"/>
  <c r="M318" i="8" s="1"/>
  <c r="O318" i="8" s="1"/>
  <c r="M319" i="8" l="1"/>
  <c r="O319" i="8" s="1"/>
  <c r="N319" i="8"/>
  <c r="E320" i="10" l="1"/>
  <c r="N320" i="8"/>
  <c r="D321" i="10" s="1"/>
  <c r="L319" i="8"/>
  <c r="L320" i="8" s="1"/>
  <c r="L321" i="8" l="1"/>
  <c r="M320" i="8"/>
  <c r="O320" i="8" s="1"/>
  <c r="N321" i="8" l="1"/>
  <c r="M321" i="8" s="1"/>
  <c r="O321" i="8" s="1"/>
  <c r="L322" i="8"/>
  <c r="E322" i="10" l="1"/>
  <c r="N322" i="8"/>
  <c r="M322" i="8" s="1"/>
  <c r="O322" i="8" s="1"/>
  <c r="L323" i="8"/>
  <c r="E323" i="10" l="1"/>
  <c r="N323" i="8"/>
  <c r="M323" i="8" s="1"/>
  <c r="O323" i="8" s="1"/>
  <c r="L324" i="8"/>
  <c r="E324" i="10" l="1"/>
  <c r="N324" i="8"/>
  <c r="M324" i="8" s="1"/>
  <c r="O324" i="8" s="1"/>
  <c r="L325" i="8"/>
  <c r="E325" i="10" l="1"/>
  <c r="N325" i="8"/>
  <c r="M325" i="8" s="1"/>
  <c r="O325" i="8" s="1"/>
  <c r="L326" i="8"/>
  <c r="E326" i="10" l="1"/>
  <c r="N326" i="8"/>
  <c r="M326" i="8" s="1"/>
  <c r="O326" i="8" s="1"/>
  <c r="L327" i="8"/>
  <c r="E327" i="10" l="1"/>
  <c r="N327" i="8"/>
  <c r="M327" i="8" s="1"/>
  <c r="O327" i="8" s="1"/>
  <c r="L328" i="8"/>
  <c r="E328" i="10" l="1"/>
  <c r="N328" i="8"/>
  <c r="M328" i="8" s="1"/>
  <c r="O328" i="8" s="1"/>
  <c r="L329" i="8"/>
  <c r="E329" i="10" l="1"/>
  <c r="N329" i="8"/>
  <c r="M329" i="8" s="1"/>
  <c r="O329" i="8" s="1"/>
  <c r="L330" i="8"/>
  <c r="E330" i="10" l="1"/>
  <c r="N330" i="8"/>
  <c r="M330" i="8" s="1"/>
  <c r="O330" i="8" s="1"/>
  <c r="M331" i="8" l="1"/>
  <c r="O331" i="8" s="1"/>
  <c r="N331" i="8"/>
  <c r="E332" i="10" l="1"/>
  <c r="N332" i="8"/>
  <c r="D333" i="10" s="1"/>
  <c r="L331" i="8"/>
  <c r="L332" i="8" s="1"/>
  <c r="L333" i="8" l="1"/>
  <c r="M332" i="8"/>
  <c r="O332" i="8" s="1"/>
  <c r="E333" i="10" l="1"/>
  <c r="N333" i="8"/>
  <c r="M333" i="8" s="1"/>
  <c r="O333" i="8" s="1"/>
  <c r="L334" i="8"/>
  <c r="E334" i="10" l="1"/>
  <c r="N334" i="8"/>
  <c r="M334" i="8" s="1"/>
  <c r="O334" i="8" s="1"/>
  <c r="L335" i="8"/>
  <c r="E335" i="10" l="1"/>
  <c r="N335" i="8"/>
  <c r="M335" i="8" s="1"/>
  <c r="O335" i="8" s="1"/>
  <c r="L336" i="8"/>
  <c r="E336" i="10" l="1"/>
  <c r="N336" i="8"/>
  <c r="M336" i="8" s="1"/>
  <c r="O336" i="8" s="1"/>
  <c r="L337" i="8"/>
  <c r="E337" i="10" l="1"/>
  <c r="N337" i="8"/>
  <c r="M337" i="8" s="1"/>
  <c r="O337" i="8" s="1"/>
  <c r="L338" i="8"/>
  <c r="E338" i="10" l="1"/>
  <c r="N338" i="8"/>
  <c r="M338" i="8" s="1"/>
  <c r="O338" i="8" s="1"/>
  <c r="L339" i="8"/>
  <c r="E339" i="10" l="1"/>
  <c r="N339" i="8"/>
  <c r="M339" i="8" s="1"/>
  <c r="O339" i="8" s="1"/>
  <c r="L340" i="8"/>
  <c r="E340" i="10" l="1"/>
  <c r="N340" i="8"/>
  <c r="M340" i="8" s="1"/>
  <c r="O340" i="8" s="1"/>
  <c r="L341" i="8"/>
  <c r="E341" i="10" l="1"/>
  <c r="N341" i="8"/>
  <c r="M341" i="8" s="1"/>
  <c r="O341" i="8" s="1"/>
  <c r="L342" i="8"/>
  <c r="E342" i="10" l="1"/>
  <c r="N342" i="8"/>
  <c r="M342" i="8" s="1"/>
  <c r="O342" i="8" s="1"/>
  <c r="M343" i="8" l="1"/>
  <c r="O343" i="8" s="1"/>
  <c r="N343" i="8"/>
  <c r="E344" i="10" l="1"/>
  <c r="N344" i="8"/>
  <c r="D345" i="10" s="1"/>
  <c r="L343" i="8"/>
  <c r="L344" i="8" s="1"/>
  <c r="M344" i="8" l="1"/>
  <c r="O344" i="8" s="1"/>
  <c r="L345" i="8"/>
  <c r="L346" i="8" l="1"/>
  <c r="N345" i="8"/>
  <c r="M345" i="8" s="1"/>
  <c r="O345" i="8" s="1"/>
  <c r="E346" i="10" l="1"/>
  <c r="N346" i="8"/>
  <c r="M346" i="8" s="1"/>
  <c r="O346" i="8" s="1"/>
  <c r="L347" i="8"/>
  <c r="E347" i="10" l="1"/>
  <c r="N347" i="8"/>
  <c r="M347" i="8" s="1"/>
  <c r="O347" i="8" s="1"/>
  <c r="L348" i="8"/>
  <c r="E348" i="10" l="1"/>
  <c r="N348" i="8"/>
  <c r="M348" i="8" s="1"/>
  <c r="O348" i="8" s="1"/>
  <c r="L349" i="8"/>
  <c r="E349" i="10" l="1"/>
  <c r="N349" i="8"/>
  <c r="M349" i="8" s="1"/>
  <c r="O349" i="8" s="1"/>
  <c r="L350" i="8"/>
  <c r="E350" i="10" l="1"/>
  <c r="N350" i="8"/>
  <c r="M350" i="8" s="1"/>
  <c r="O350" i="8" s="1"/>
  <c r="L351" i="8"/>
  <c r="E351" i="10" l="1"/>
  <c r="N351" i="8"/>
  <c r="M351" i="8" s="1"/>
  <c r="O351" i="8" s="1"/>
  <c r="L352" i="8"/>
  <c r="E352" i="10" l="1"/>
  <c r="N352" i="8"/>
  <c r="M352" i="8" s="1"/>
  <c r="O352" i="8" s="1"/>
  <c r="L353" i="8"/>
  <c r="E353" i="10" l="1"/>
  <c r="N353" i="8"/>
  <c r="M353" i="8" s="1"/>
  <c r="O353" i="8" s="1"/>
  <c r="L354" i="8"/>
  <c r="E354" i="10" l="1"/>
  <c r="N354" i="8"/>
  <c r="M354" i="8" s="1"/>
  <c r="O354" i="8" s="1"/>
  <c r="M355" i="8" l="1"/>
  <c r="O355" i="8" s="1"/>
  <c r="N355" i="8"/>
  <c r="L355" i="8" l="1"/>
  <c r="L356" i="8" s="1"/>
  <c r="L357" i="8" s="1"/>
  <c r="E356" i="10"/>
  <c r="N356" i="8"/>
  <c r="D357" i="10" s="1"/>
  <c r="M356" i="8" l="1"/>
  <c r="O356" i="8" s="1"/>
  <c r="N357" i="8" s="1"/>
  <c r="M357" i="8" s="1"/>
  <c r="O357" i="8" s="1"/>
  <c r="L358" i="8"/>
  <c r="E358" i="10" l="1"/>
  <c r="N358" i="8"/>
  <c r="M358" i="8" s="1"/>
  <c r="O358" i="8" s="1"/>
  <c r="L359" i="8"/>
  <c r="E359" i="10" l="1"/>
  <c r="N359" i="8"/>
  <c r="M359" i="8" s="1"/>
  <c r="O359" i="8" s="1"/>
  <c r="L360" i="8"/>
  <c r="E360" i="10" l="1"/>
  <c r="N360" i="8"/>
  <c r="M360" i="8" s="1"/>
  <c r="O360" i="8" s="1"/>
  <c r="L361" i="8"/>
  <c r="E361" i="10" l="1"/>
  <c r="N361" i="8"/>
  <c r="M361" i="8" s="1"/>
  <c r="O361" i="8" s="1"/>
  <c r="L362" i="8"/>
  <c r="E362" i="10" l="1"/>
  <c r="N362" i="8"/>
  <c r="M362" i="8" s="1"/>
  <c r="O362" i="8" s="1"/>
  <c r="L363" i="8"/>
  <c r="E363" i="10" l="1"/>
  <c r="N363" i="8"/>
  <c r="M363" i="8" s="1"/>
  <c r="O363" i="8" s="1"/>
  <c r="L364" i="8"/>
  <c r="E364" i="10" l="1"/>
  <c r="N364" i="8"/>
  <c r="M364" i="8" s="1"/>
  <c r="O364" i="8" s="1"/>
  <c r="L365" i="8"/>
  <c r="E365" i="10" l="1"/>
  <c r="N365" i="8"/>
  <c r="M365" i="8" s="1"/>
  <c r="O365" i="8" s="1"/>
  <c r="L366" i="8"/>
  <c r="E366" i="10" l="1"/>
  <c r="N366" i="8"/>
  <c r="N367" i="8" s="1"/>
  <c r="M366" i="8" l="1"/>
  <c r="M367" i="8" s="1"/>
  <c r="M368" i="8" s="1"/>
  <c r="O36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Jinkings</author>
  </authors>
  <commentList>
    <comment ref="B6" authorId="0" shapeId="0" xr:uid="{161D7C28-17D0-403E-ACED-1B142342C898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Data de início da negociação</t>
        </r>
      </text>
    </comment>
    <comment ref="B7" authorId="0" shapeId="0" xr:uid="{9AFAB484-E6A8-49B0-96BE-C3CF98CFC6BE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Data de entrega do imóvel (será importante pois até a entrega terá correççao pelo INCC)</t>
        </r>
      </text>
    </comment>
    <comment ref="B8" authorId="0" shapeId="0" xr:uid="{102F0B1E-F888-4C76-A374-2828E7F83EFD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Quantidade de unidades compradas</t>
        </r>
      </text>
    </comment>
    <comment ref="B9" authorId="0" shapeId="0" xr:uid="{700FF674-8BDC-4015-AD14-1982189CBB03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Quantidade de metros quadrados da unidade</t>
        </r>
      </text>
    </comment>
    <comment ref="B16" authorId="0" shapeId="0" xr:uid="{5EC1EBB0-45A7-47F5-8978-30C57149B040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Projeção do INCC</t>
        </r>
      </text>
    </comment>
    <comment ref="B17" authorId="0" shapeId="0" xr:uid="{F3DB0614-2534-42CC-B565-B04C3161105E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Só preencher se for compra atraves de fluxo de pagamento durante a obra</t>
        </r>
      </text>
    </comment>
    <comment ref="B18" authorId="0" shapeId="0" xr:uid="{194E3E78-B69A-41DB-A1EB-2C76F6E12595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Só preencher se for compra atraves de fluxo de pagamento durante a obra</t>
        </r>
      </text>
    </comment>
    <comment ref="B24" authorId="0" shapeId="0" xr:uid="{9D1AC589-0F30-4CF8-AA7B-E53BC53C53A0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Escolher na lista suspensa qual o tipo de TAXA de financiamento, PRICE, SAC ou SACRE</t>
        </r>
      </text>
    </comment>
    <comment ref="B25" authorId="0" shapeId="0" xr:uid="{481ECB41-7AF8-4673-A652-68C586ACD771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Juros que os bancos que os bancos oferecem para financiamento de imóvel, sendo interessante colocar um pouco a mais para simular o seguro e taxas.</t>
        </r>
      </text>
    </comment>
    <comment ref="B26" authorId="0" shapeId="0" xr:uid="{2142EF14-1F9E-4162-8629-B1DC231CCF37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Formula NÂO ALTERAR</t>
        </r>
      </text>
    </comment>
    <comment ref="B27" authorId="0" shapeId="0" xr:uid="{33C43CC1-DF5E-421C-88A2-1A89BC7924A3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Quantidade de meses do financiamento e também das projeções de aplicação do saldo dos alugueis.</t>
        </r>
      </text>
    </comment>
    <comment ref="B30" authorId="0" shapeId="0" xr:uid="{CCAA5B54-A366-4174-9146-6065F798E566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Esse percentual é bruto (sem IR), como parâmetro para comparação a outro investimento.</t>
        </r>
      </text>
    </comment>
    <comment ref="B31" authorId="0" shapeId="0" xr:uid="{E7A743D8-1DDD-4A8E-8597-98D21F5D701E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Fôrmula, não alterar!!</t>
        </r>
      </text>
    </comment>
    <comment ref="B32" authorId="0" shapeId="0" xr:uid="{3E279102-E0D5-4D45-A336-5AAEBA45A281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Indice projetado de acordo com o tipo de imóvel (alto padrão ou não), infraestrutura oferecida, quant. de apartamentos entre outras informações do condomínio.</t>
        </r>
      </text>
    </comment>
    <comment ref="B33" authorId="0" shapeId="0" xr:uid="{A30DA309-A9AA-4099-988D-7B91589B3A41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Projeçao de acordo com a localização, relação com a metragem, quantidade e área do terreno total. Só dá para saber com certeza quando formalizar o condomínio.</t>
        </r>
      </text>
    </comment>
    <comment ref="B34" authorId="0" shapeId="0" xr:uid="{AF6C1F09-CA4B-4825-965A-4BF1E63543CC}">
      <text>
        <r>
          <rPr>
            <b/>
            <sz val="9"/>
            <color indexed="81"/>
            <rFont val="Segoe UI"/>
            <family val="2"/>
          </rPr>
          <t xml:space="preserve">Paulo Jinkings: 
</t>
        </r>
        <r>
          <rPr>
            <sz val="9"/>
            <color indexed="81"/>
            <rFont val="Segoe UI"/>
            <family val="2"/>
          </rPr>
          <t>Fonte ... BCB/FOCUS</t>
        </r>
      </text>
    </comment>
    <comment ref="B35" authorId="0" shapeId="0" xr:uid="{D24DF888-5938-41F1-B5E0-794E4642D2D0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Fonte...BCB/FOCUS</t>
        </r>
      </text>
    </comment>
    <comment ref="B36" authorId="0" shapeId="0" xr:uid="{E79BF4CD-2D02-4ECF-AC50-B18CBE6D5B2E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% do CDI ano, que é acrescida no juros mensal. </t>
        </r>
      </text>
    </comment>
  </commentList>
</comments>
</file>

<file path=xl/sharedStrings.xml><?xml version="1.0" encoding="utf-8"?>
<sst xmlns="http://schemas.openxmlformats.org/spreadsheetml/2006/main" count="124" uniqueCount="82">
  <si>
    <t>Mês</t>
  </si>
  <si>
    <t>índice</t>
  </si>
  <si>
    <t>Var% Mês</t>
  </si>
  <si>
    <t>Acum. Ano%</t>
  </si>
  <si>
    <t>Acum. 12 meses%</t>
  </si>
  <si>
    <t>INCC fonte FGV</t>
  </si>
  <si>
    <t>Valores do contrato</t>
  </si>
  <si>
    <t>Total</t>
  </si>
  <si>
    <t>Saldo Corrigido</t>
  </si>
  <si>
    <t>Saldo Contrato</t>
  </si>
  <si>
    <t>INCC Acum.</t>
  </si>
  <si>
    <t>INCC Mês</t>
  </si>
  <si>
    <t>% Obra</t>
  </si>
  <si>
    <t>Premissas:</t>
  </si>
  <si>
    <t>3 anuais</t>
  </si>
  <si>
    <t>Ato</t>
  </si>
  <si>
    <t>36 Parcelas</t>
  </si>
  <si>
    <t>1 parcela final</t>
  </si>
  <si>
    <t>Val. Reaj. INCC</t>
  </si>
  <si>
    <t>Fluxo Compra do Studio</t>
  </si>
  <si>
    <t>Quant.</t>
  </si>
  <si>
    <t>Valor à Financiar</t>
  </si>
  <si>
    <t>Juros</t>
  </si>
  <si>
    <t>Prestação</t>
  </si>
  <si>
    <t>Amortização</t>
  </si>
  <si>
    <t>Saldo Devedor</t>
  </si>
  <si>
    <t>Juros mês</t>
  </si>
  <si>
    <t>Juros Ano</t>
  </si>
  <si>
    <t>Valor Base PRICE</t>
  </si>
  <si>
    <t>Valor Base SAC</t>
  </si>
  <si>
    <t>Prazo total</t>
  </si>
  <si>
    <t>SISTEMA PRICE (amortizações crescentes)
progressivas)</t>
  </si>
  <si>
    <t>SAC (Sistema de amortização constante)</t>
  </si>
  <si>
    <r>
      <rPr>
        <b/>
        <sz val="12"/>
        <rFont val="Times New Roman"/>
        <family val="1"/>
      </rPr>
      <t>Prestação</t>
    </r>
  </si>
  <si>
    <r>
      <rPr>
        <b/>
        <sz val="12"/>
        <rFont val="Times New Roman"/>
        <family val="1"/>
      </rPr>
      <t>Amortização</t>
    </r>
  </si>
  <si>
    <r>
      <rPr>
        <b/>
        <sz val="12"/>
        <rFont val="Times New Roman"/>
        <family val="1"/>
      </rPr>
      <t>Juro</t>
    </r>
  </si>
  <si>
    <r>
      <rPr>
        <b/>
        <sz val="12"/>
        <rFont val="Times New Roman"/>
        <family val="1"/>
      </rPr>
      <t>Saldo Devedor</t>
    </r>
  </si>
  <si>
    <t xml:space="preserve">SACRE </t>
  </si>
  <si>
    <t>Valor de 1 unidade</t>
  </si>
  <si>
    <t>Aluguel</t>
  </si>
  <si>
    <t>IPTU</t>
  </si>
  <si>
    <t>Condomínio</t>
  </si>
  <si>
    <t>Saldo total</t>
  </si>
  <si>
    <t xml:space="preserve">Juros de </t>
  </si>
  <si>
    <t xml:space="preserve">Prazo </t>
  </si>
  <si>
    <t>Inflação</t>
  </si>
  <si>
    <t>Média Aplicação</t>
  </si>
  <si>
    <t>CDI Ano</t>
  </si>
  <si>
    <t>Inflação acumulada</t>
  </si>
  <si>
    <t>Média alug. mês</t>
  </si>
  <si>
    <t>Saldo ajustado + aplicação</t>
  </si>
  <si>
    <t>Quant. Unidades</t>
  </si>
  <si>
    <t>Tipo de financiamento</t>
  </si>
  <si>
    <t>Valor Total</t>
  </si>
  <si>
    <t>Condomínio indice projet.</t>
  </si>
  <si>
    <t>Metragem (m2)</t>
  </si>
  <si>
    <t>CDI Ano (BCB/Focus)</t>
  </si>
  <si>
    <t>Inflação ano (BCB/Focus)</t>
  </si>
  <si>
    <t>Inflação mês</t>
  </si>
  <si>
    <t>Inflação ano</t>
  </si>
  <si>
    <t>IPTU mês projet. por m2</t>
  </si>
  <si>
    <t>Mês de início</t>
  </si>
  <si>
    <t>Aplicação % do CDI</t>
  </si>
  <si>
    <t>% do CDI</t>
  </si>
  <si>
    <t>INCC ao mês</t>
  </si>
  <si>
    <t>juros aplicação</t>
  </si>
  <si>
    <t>Modelagem para compra Studio/Imóveis</t>
  </si>
  <si>
    <t>Premissas Fluxo de pagamento (se aplicável)</t>
  </si>
  <si>
    <t>Financiamento (se aplicável)</t>
  </si>
  <si>
    <t>Células com preenchimento obrigatório</t>
  </si>
  <si>
    <t>Células com fórmulas</t>
  </si>
  <si>
    <t>Células com percentuais (se aplícável)</t>
  </si>
  <si>
    <t>Mês de entrega</t>
  </si>
  <si>
    <t>Aluguel Premissas</t>
  </si>
  <si>
    <t>% liquido do aluguel</t>
  </si>
  <si>
    <t>% após o IR</t>
  </si>
  <si>
    <t>Premissas Fluxo de pagamento (em valores)</t>
  </si>
  <si>
    <t>Total do fluxo</t>
  </si>
  <si>
    <t>Saldo mês + Inflação</t>
  </si>
  <si>
    <t>Aluguel % (Custo Oport. mês)</t>
  </si>
  <si>
    <t>PRICE</t>
  </si>
  <si>
    <t>Planilha de simulação de compra de Stúdios para investimento em Alugueis, com premissas a serem definidas, que pode ser à vista, financiada ou com fluxo durante a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</si>
</sst>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0%"/>
    <numFmt numFmtId="167" formatCode="#,##0.00_ ;[Red]\-#,##0.00\ "/>
    <numFmt numFmtId="168" formatCode="0.00000%"/>
    <numFmt numFmtId="169" formatCode="&quot;R$&quot;\ #,##0.00;[Red]\-&quot;R$&quot;\ 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1"/>
      <color rgb="FF000000"/>
      <name val="Aptos Narrow"/>
      <family val="2"/>
    </font>
    <font>
      <b/>
      <sz val="11"/>
      <name val="Aptos Narrow"/>
      <family val="2"/>
    </font>
    <font>
      <b/>
      <sz val="11"/>
      <color rgb="FF000000"/>
      <name val="Aptos Narrow"/>
      <family val="2"/>
    </font>
    <font>
      <b/>
      <u/>
      <sz val="11"/>
      <color theme="1"/>
      <name val="Aptos Narrow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90">
    <xf numFmtId="0" fontId="0" fillId="0" borderId="0" xfId="0"/>
    <xf numFmtId="43" fontId="0" fillId="0" borderId="0" xfId="1" applyFont="1"/>
    <xf numFmtId="9" fontId="0" fillId="0" borderId="0" xfId="2" applyFont="1"/>
    <xf numFmtId="10" fontId="0" fillId="0" borderId="0" xfId="2" applyNumberFormat="1" applyFont="1"/>
    <xf numFmtId="164" fontId="0" fillId="2" borderId="0" xfId="1" applyNumberFormat="1" applyFont="1" applyFill="1"/>
    <xf numFmtId="43" fontId="0" fillId="2" borderId="0" xfId="1" applyFont="1" applyFill="1"/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8" fontId="2" fillId="6" borderId="0" xfId="1" applyNumberFormat="1" applyFont="1" applyFill="1" applyBorder="1" applyAlignment="1" applyProtection="1">
      <alignment horizontal="left" vertical="center"/>
      <protection hidden="1"/>
    </xf>
    <xf numFmtId="0" fontId="0" fillId="6" borderId="0" xfId="0" applyFill="1" applyProtection="1">
      <protection hidden="1"/>
    </xf>
    <xf numFmtId="43" fontId="0" fillId="0" borderId="0" xfId="1" applyFont="1" applyProtection="1">
      <protection hidden="1"/>
    </xf>
    <xf numFmtId="38" fontId="2" fillId="3" borderId="0" xfId="1" applyNumberFormat="1" applyFont="1" applyFill="1" applyBorder="1" applyAlignment="1" applyProtection="1">
      <alignment horizontal="left" vertical="center"/>
      <protection hidden="1"/>
    </xf>
    <xf numFmtId="0" fontId="0" fillId="3" borderId="0" xfId="0" applyFill="1" applyProtection="1">
      <protection hidden="1"/>
    </xf>
    <xf numFmtId="38" fontId="2" fillId="5" borderId="0" xfId="1" applyNumberFormat="1" applyFont="1" applyFill="1" applyBorder="1" applyAlignment="1" applyProtection="1">
      <alignment horizontal="left" vertical="center"/>
      <protection hidden="1"/>
    </xf>
    <xf numFmtId="0" fontId="0" fillId="5" borderId="0" xfId="0" applyFill="1" applyProtection="1">
      <protection hidden="1"/>
    </xf>
    <xf numFmtId="38" fontId="2" fillId="0" borderId="0" xfId="1" applyNumberFormat="1" applyFont="1" applyFill="1" applyBorder="1" applyAlignment="1" applyProtection="1">
      <alignment horizontal="left" vertical="center"/>
      <protection hidden="1"/>
    </xf>
    <xf numFmtId="3" fontId="9" fillId="4" borderId="24" xfId="3" applyNumberFormat="1" applyFont="1" applyFill="1" applyBorder="1" applyAlignment="1" applyProtection="1">
      <alignment horizontal="center" vertical="center"/>
      <protection hidden="1"/>
    </xf>
    <xf numFmtId="0" fontId="9" fillId="4" borderId="24" xfId="3" applyFont="1" applyFill="1" applyBorder="1" applyAlignment="1" applyProtection="1">
      <alignment horizontal="center" vertical="center"/>
      <protection hidden="1"/>
    </xf>
    <xf numFmtId="0" fontId="9" fillId="4" borderId="24" xfId="3" applyFont="1" applyFill="1" applyBorder="1" applyAlignment="1" applyProtection="1">
      <alignment horizontal="center" vertical="center" wrapText="1"/>
      <protection hidden="1"/>
    </xf>
    <xf numFmtId="40" fontId="2" fillId="0" borderId="34" xfId="1" applyNumberFormat="1" applyFont="1" applyBorder="1" applyProtection="1">
      <protection hidden="1"/>
    </xf>
    <xf numFmtId="3" fontId="9" fillId="0" borderId="32" xfId="3" applyNumberFormat="1" applyFont="1" applyBorder="1" applyAlignment="1" applyProtection="1">
      <alignment horizontal="center" vertical="center"/>
      <protection hidden="1"/>
    </xf>
    <xf numFmtId="40" fontId="9" fillId="0" borderId="32" xfId="3" applyNumberFormat="1" applyFont="1" applyBorder="1" applyAlignment="1" applyProtection="1">
      <alignment horizontal="center" vertical="center"/>
      <protection hidden="1"/>
    </xf>
    <xf numFmtId="40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40" fontId="2" fillId="0" borderId="9" xfId="1" applyNumberFormat="1" applyFont="1" applyBorder="1" applyProtection="1">
      <protection hidden="1"/>
    </xf>
    <xf numFmtId="3" fontId="9" fillId="0" borderId="10" xfId="3" applyNumberFormat="1" applyFont="1" applyBorder="1" applyAlignment="1" applyProtection="1">
      <alignment horizontal="center" vertical="center"/>
      <protection hidden="1"/>
    </xf>
    <xf numFmtId="40" fontId="9" fillId="0" borderId="10" xfId="3" applyNumberFormat="1" applyFont="1" applyBorder="1" applyAlignment="1" applyProtection="1">
      <alignment horizontal="center" vertical="center"/>
      <protection hidden="1"/>
    </xf>
    <xf numFmtId="40" fontId="2" fillId="0" borderId="27" xfId="1" applyNumberFormat="1" applyFont="1" applyBorder="1" applyProtection="1">
      <protection hidden="1"/>
    </xf>
    <xf numFmtId="0" fontId="9" fillId="0" borderId="15" xfId="3" applyFont="1" applyBorder="1" applyAlignment="1" applyProtection="1">
      <alignment horizontal="left" vertical="top"/>
      <protection hidden="1"/>
    </xf>
    <xf numFmtId="0" fontId="9" fillId="0" borderId="9" xfId="3" applyFont="1" applyBorder="1" applyAlignment="1" applyProtection="1">
      <alignment horizontal="left" vertical="top"/>
      <protection hidden="1"/>
    </xf>
    <xf numFmtId="0" fontId="9" fillId="0" borderId="27" xfId="3" applyFont="1" applyBorder="1" applyAlignment="1" applyProtection="1">
      <alignment horizontal="left" vertical="top"/>
      <protection hidden="1"/>
    </xf>
    <xf numFmtId="166" fontId="2" fillId="0" borderId="15" xfId="2" applyNumberFormat="1" applyFont="1" applyFill="1" applyBorder="1" applyProtection="1">
      <protection hidden="1"/>
    </xf>
    <xf numFmtId="166" fontId="9" fillId="3" borderId="26" xfId="2" applyNumberFormat="1" applyFont="1" applyFill="1" applyBorder="1" applyAlignment="1" applyProtection="1">
      <alignment horizontal="center" vertical="center"/>
      <protection hidden="1"/>
    </xf>
    <xf numFmtId="0" fontId="2" fillId="0" borderId="9" xfId="0" applyFont="1" applyBorder="1" applyProtection="1">
      <protection hidden="1"/>
    </xf>
    <xf numFmtId="9" fontId="9" fillId="3" borderId="28" xfId="2" applyFont="1" applyFill="1" applyBorder="1" applyAlignment="1" applyProtection="1">
      <alignment horizontal="center" vertical="center"/>
      <protection hidden="1"/>
    </xf>
    <xf numFmtId="3" fontId="9" fillId="0" borderId="33" xfId="3" applyNumberFormat="1" applyFont="1" applyBorder="1" applyAlignment="1" applyProtection="1">
      <alignment horizontal="center" vertical="center"/>
      <protection hidden="1"/>
    </xf>
    <xf numFmtId="40" fontId="9" fillId="0" borderId="33" xfId="3" applyNumberFormat="1" applyFont="1" applyBorder="1" applyAlignment="1" applyProtection="1">
      <alignment horizontal="center" vertical="center"/>
      <protection hidden="1"/>
    </xf>
    <xf numFmtId="10" fontId="0" fillId="0" borderId="0" xfId="2" applyNumberFormat="1" applyFont="1" applyBorder="1" applyProtection="1">
      <protection hidden="1"/>
    </xf>
    <xf numFmtId="40" fontId="0" fillId="0" borderId="6" xfId="0" applyNumberFormat="1" applyBorder="1" applyProtection="1">
      <protection hidden="1"/>
    </xf>
    <xf numFmtId="9" fontId="0" fillId="0" borderId="0" xfId="2" applyFont="1" applyBorder="1" applyAlignment="1" applyProtection="1">
      <alignment horizontal="right" vertical="center" wrapText="1"/>
      <protection hidden="1"/>
    </xf>
    <xf numFmtId="17" fontId="2" fillId="6" borderId="35" xfId="1" applyNumberFormat="1" applyFont="1" applyFill="1" applyBorder="1" applyAlignment="1" applyProtection="1">
      <alignment horizontal="center" vertical="center"/>
      <protection locked="0"/>
    </xf>
    <xf numFmtId="17" fontId="2" fillId="6" borderId="26" xfId="1" applyNumberFormat="1" applyFont="1" applyFill="1" applyBorder="1" applyAlignment="1" applyProtection="1">
      <alignment horizontal="center" vertical="center"/>
      <protection locked="0"/>
    </xf>
    <xf numFmtId="38" fontId="2" fillId="6" borderId="26" xfId="1" applyNumberFormat="1" applyFont="1" applyFill="1" applyBorder="1" applyAlignment="1" applyProtection="1">
      <alignment horizontal="center" vertical="center"/>
      <protection locked="0"/>
    </xf>
    <xf numFmtId="40" fontId="2" fillId="6" borderId="26" xfId="1" applyNumberFormat="1" applyFont="1" applyFill="1" applyBorder="1" applyAlignment="1" applyProtection="1">
      <alignment horizontal="center" vertical="center"/>
      <protection locked="0"/>
    </xf>
    <xf numFmtId="10" fontId="9" fillId="6" borderId="29" xfId="2" applyNumberFormat="1" applyFont="1" applyFill="1" applyBorder="1" applyAlignment="1" applyProtection="1">
      <alignment horizontal="center" vertical="center"/>
      <protection locked="0"/>
    </xf>
    <xf numFmtId="37" fontId="9" fillId="6" borderId="26" xfId="3" applyNumberFormat="1" applyFont="1" applyFill="1" applyBorder="1" applyAlignment="1" applyProtection="1">
      <alignment horizontal="center" vertical="center"/>
      <protection locked="0"/>
    </xf>
    <xf numFmtId="39" fontId="9" fillId="6" borderId="26" xfId="3" applyNumberFormat="1" applyFont="1" applyFill="1" applyBorder="1" applyAlignment="1" applyProtection="1">
      <alignment horizontal="center" vertical="center"/>
      <protection locked="0"/>
    </xf>
    <xf numFmtId="10" fontId="9" fillId="6" borderId="26" xfId="2" applyNumberFormat="1" applyFont="1" applyFill="1" applyBorder="1" applyAlignment="1" applyProtection="1">
      <alignment horizontal="center" vertical="center"/>
      <protection locked="0"/>
    </xf>
    <xf numFmtId="9" fontId="9" fillId="6" borderId="28" xfId="2" applyFont="1" applyFill="1" applyBorder="1" applyAlignment="1" applyProtection="1">
      <alignment horizontal="center" vertical="center"/>
      <protection locked="0"/>
    </xf>
    <xf numFmtId="40" fontId="2" fillId="2" borderId="29" xfId="1" applyNumberFormat="1" applyFont="1" applyFill="1" applyBorder="1" applyAlignment="1" applyProtection="1">
      <alignment horizontal="center" vertical="center"/>
      <protection locked="0"/>
    </xf>
    <xf numFmtId="9" fontId="9" fillId="6" borderId="26" xfId="3" applyNumberFormat="1" applyFont="1" applyFill="1" applyBorder="1" applyAlignment="1" applyProtection="1">
      <alignment horizontal="center" vertical="center"/>
      <protection locked="0"/>
    </xf>
    <xf numFmtId="10" fontId="2" fillId="6" borderId="26" xfId="2" applyNumberFormat="1" applyFont="1" applyFill="1" applyBorder="1" applyAlignment="1" applyProtection="1">
      <alignment horizontal="center" vertical="center"/>
      <protection locked="0"/>
    </xf>
    <xf numFmtId="10" fontId="9" fillId="5" borderId="26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7" fontId="4" fillId="0" borderId="0" xfId="0" applyNumberFormat="1" applyFont="1" applyAlignment="1" applyProtection="1">
      <alignment vertical="top" wrapText="1"/>
      <protection hidden="1"/>
    </xf>
    <xf numFmtId="4" fontId="4" fillId="0" borderId="0" xfId="0" applyNumberFormat="1" applyFont="1" applyAlignment="1" applyProtection="1">
      <alignment vertical="top" wrapText="1"/>
      <protection hidden="1"/>
    </xf>
    <xf numFmtId="10" fontId="4" fillId="0" borderId="0" xfId="0" applyNumberFormat="1" applyFont="1" applyAlignment="1" applyProtection="1">
      <alignment vertical="top" wrapText="1"/>
      <protection hidden="1"/>
    </xf>
    <xf numFmtId="10" fontId="4" fillId="0" borderId="0" xfId="0" applyNumberFormat="1" applyFont="1" applyAlignment="1" applyProtection="1">
      <alignment horizontal="center" vertical="top" wrapText="1"/>
      <protection hidden="1"/>
    </xf>
    <xf numFmtId="10" fontId="0" fillId="0" borderId="0" xfId="0" applyNumberFormat="1" applyProtection="1">
      <protection hidden="1"/>
    </xf>
    <xf numFmtId="0" fontId="7" fillId="0" borderId="0" xfId="3" applyFont="1" applyAlignment="1" applyProtection="1">
      <alignment horizontal="left" vertical="top"/>
      <protection hidden="1"/>
    </xf>
    <xf numFmtId="0" fontId="9" fillId="0" borderId="0" xfId="3" applyFont="1" applyAlignment="1" applyProtection="1">
      <alignment horizontal="left" vertical="top"/>
      <protection hidden="1"/>
    </xf>
    <xf numFmtId="9" fontId="9" fillId="0" borderId="0" xfId="3" applyNumberFormat="1" applyFont="1" applyAlignment="1" applyProtection="1">
      <alignment horizontal="center" vertical="center"/>
      <protection hidden="1"/>
    </xf>
    <xf numFmtId="0" fontId="9" fillId="0" borderId="0" xfId="3" applyFont="1" applyAlignment="1" applyProtection="1">
      <alignment horizontal="right" vertical="top"/>
      <protection hidden="1"/>
    </xf>
    <xf numFmtId="40" fontId="9" fillId="0" borderId="0" xfId="3" applyNumberFormat="1" applyFont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right" vertical="top"/>
      <protection hidden="1"/>
    </xf>
    <xf numFmtId="166" fontId="9" fillId="0" borderId="0" xfId="2" applyNumberFormat="1" applyFont="1" applyAlignment="1" applyProtection="1">
      <alignment horizontal="center" vertical="center"/>
      <protection hidden="1"/>
    </xf>
    <xf numFmtId="4" fontId="7" fillId="0" borderId="0" xfId="3" applyNumberFormat="1" applyFont="1" applyAlignment="1" applyProtection="1">
      <alignment horizontal="left" vertical="top"/>
      <protection hidden="1"/>
    </xf>
    <xf numFmtId="37" fontId="9" fillId="0" borderId="0" xfId="3" applyNumberFormat="1" applyFont="1" applyAlignment="1" applyProtection="1">
      <alignment horizontal="center" vertical="center"/>
      <protection hidden="1"/>
    </xf>
    <xf numFmtId="0" fontId="9" fillId="0" borderId="0" xfId="3" applyFont="1" applyAlignment="1" applyProtection="1">
      <alignment horizontal="center" vertical="center"/>
      <protection hidden="1"/>
    </xf>
    <xf numFmtId="40" fontId="7" fillId="0" borderId="0" xfId="3" applyNumberFormat="1" applyFont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4" fontId="9" fillId="0" borderId="0" xfId="3" applyNumberFormat="1" applyFont="1" applyAlignment="1" applyProtection="1">
      <alignment horizontal="center" vertical="center"/>
      <protection hidden="1"/>
    </xf>
    <xf numFmtId="4" fontId="9" fillId="0" borderId="0" xfId="3" applyNumberFormat="1" applyFont="1" applyAlignment="1" applyProtection="1">
      <alignment horizontal="left" vertical="top"/>
      <protection hidden="1"/>
    </xf>
    <xf numFmtId="4" fontId="7" fillId="0" borderId="0" xfId="3" applyNumberFormat="1" applyFont="1" applyAlignment="1" applyProtection="1">
      <alignment horizontal="center" vertical="center"/>
      <protection hidden="1"/>
    </xf>
    <xf numFmtId="0" fontId="9" fillId="2" borderId="16" xfId="3" applyFont="1" applyFill="1" applyBorder="1" applyAlignment="1" applyProtection="1">
      <alignment horizontal="center" vertical="center"/>
      <protection hidden="1"/>
    </xf>
    <xf numFmtId="0" fontId="9" fillId="2" borderId="17" xfId="3" applyFont="1" applyFill="1" applyBorder="1" applyAlignment="1" applyProtection="1">
      <alignment horizontal="center" vertical="center"/>
      <protection hidden="1"/>
    </xf>
    <xf numFmtId="4" fontId="9" fillId="2" borderId="17" xfId="3" applyNumberFormat="1" applyFont="1" applyFill="1" applyBorder="1" applyAlignment="1" applyProtection="1">
      <alignment horizontal="center" vertical="center"/>
      <protection hidden="1"/>
    </xf>
    <xf numFmtId="40" fontId="9" fillId="2" borderId="17" xfId="3" applyNumberFormat="1" applyFont="1" applyFill="1" applyBorder="1" applyAlignment="1" applyProtection="1">
      <alignment horizontal="center" vertical="center"/>
      <protection hidden="1"/>
    </xf>
    <xf numFmtId="0" fontId="9" fillId="2" borderId="18" xfId="3" applyFont="1" applyFill="1" applyBorder="1" applyAlignment="1" applyProtection="1">
      <alignment horizontal="center" vertical="center"/>
      <protection hidden="1"/>
    </xf>
    <xf numFmtId="37" fontId="2" fillId="0" borderId="13" xfId="0" applyNumberFormat="1" applyFont="1" applyBorder="1" applyProtection="1">
      <protection hidden="1"/>
    </xf>
    <xf numFmtId="40" fontId="2" fillId="0" borderId="3" xfId="1" applyNumberFormat="1" applyFont="1" applyBorder="1" applyProtection="1">
      <protection hidden="1"/>
    </xf>
    <xf numFmtId="40" fontId="0" fillId="0" borderId="3" xfId="1" applyNumberFormat="1" applyFont="1" applyBorder="1" applyProtection="1">
      <protection hidden="1"/>
    </xf>
    <xf numFmtId="40" fontId="0" fillId="0" borderId="0" xfId="1" applyNumberFormat="1" applyFont="1" applyFill="1" applyAlignment="1" applyProtection="1">
      <alignment horizontal="center" vertical="center"/>
      <protection hidden="1"/>
    </xf>
    <xf numFmtId="10" fontId="0" fillId="3" borderId="0" xfId="2" applyNumberFormat="1" applyFont="1" applyFill="1" applyProtection="1">
      <protection locked="0" hidden="1"/>
    </xf>
    <xf numFmtId="40" fontId="0" fillId="0" borderId="0" xfId="1" applyNumberFormat="1" applyFont="1" applyFill="1" applyProtection="1">
      <protection hidden="1"/>
    </xf>
    <xf numFmtId="37" fontId="2" fillId="3" borderId="14" xfId="0" applyNumberFormat="1" applyFont="1" applyFill="1" applyBorder="1" applyAlignment="1" applyProtection="1">
      <alignment horizontal="center" vertical="center"/>
      <protection locked="0" hidden="1"/>
    </xf>
    <xf numFmtId="40" fontId="2" fillId="0" borderId="0" xfId="1" applyNumberFormat="1" applyFont="1" applyBorder="1" applyProtection="1">
      <protection hidden="1"/>
    </xf>
    <xf numFmtId="40" fontId="2" fillId="3" borderId="0" xfId="1" applyNumberFormat="1" applyFont="1" applyFill="1" applyBorder="1" applyProtection="1">
      <protection locked="0" hidden="1"/>
    </xf>
    <xf numFmtId="40" fontId="10" fillId="0" borderId="0" xfId="1" applyNumberFormat="1" applyFont="1" applyBorder="1" applyAlignment="1" applyProtection="1">
      <alignment horizontal="right"/>
      <protection hidden="1"/>
    </xf>
    <xf numFmtId="9" fontId="2" fillId="3" borderId="0" xfId="2" applyFont="1" applyFill="1" applyAlignment="1" applyProtection="1">
      <alignment horizontal="left"/>
      <protection hidden="1"/>
    </xf>
    <xf numFmtId="166" fontId="2" fillId="0" borderId="5" xfId="2" applyNumberFormat="1" applyFont="1" applyBorder="1" applyProtection="1">
      <protection hidden="1"/>
    </xf>
    <xf numFmtId="40" fontId="0" fillId="0" borderId="0" xfId="1" applyNumberFormat="1" applyFont="1" applyFill="1" applyBorder="1" applyProtection="1">
      <protection locked="0" hidden="1"/>
    </xf>
    <xf numFmtId="0" fontId="0" fillId="0" borderId="0" xfId="0" applyAlignment="1" applyProtection="1">
      <alignment horizontal="center" vertical="center"/>
      <protection hidden="1"/>
    </xf>
    <xf numFmtId="168" fontId="0" fillId="0" borderId="0" xfId="2" applyNumberFormat="1" applyFont="1" applyFill="1" applyProtection="1">
      <protection hidden="1"/>
    </xf>
    <xf numFmtId="40" fontId="0" fillId="0" borderId="25" xfId="1" applyNumberFormat="1" applyFont="1" applyFill="1" applyBorder="1" applyAlignment="1" applyProtection="1">
      <alignment horizontal="right"/>
      <protection hidden="1"/>
    </xf>
    <xf numFmtId="9" fontId="0" fillId="0" borderId="22" xfId="2" applyFont="1" applyFill="1" applyBorder="1" applyAlignment="1" applyProtection="1">
      <alignment horizontal="left"/>
      <protection hidden="1"/>
    </xf>
    <xf numFmtId="165" fontId="0" fillId="0" borderId="0" xfId="2" applyNumberFormat="1" applyFont="1" applyProtection="1">
      <protection hidden="1"/>
    </xf>
    <xf numFmtId="37" fontId="0" fillId="0" borderId="5" xfId="0" applyNumberFormat="1" applyBorder="1" applyProtection="1">
      <protection hidden="1"/>
    </xf>
    <xf numFmtId="40" fontId="10" fillId="0" borderId="8" xfId="1" applyNumberFormat="1" applyFont="1" applyBorder="1" applyAlignment="1" applyProtection="1">
      <alignment horizontal="right" vertical="center"/>
      <protection hidden="1"/>
    </xf>
    <xf numFmtId="37" fontId="9" fillId="3" borderId="8" xfId="3" applyNumberFormat="1" applyFont="1" applyFill="1" applyBorder="1" applyAlignment="1" applyProtection="1">
      <alignment horizontal="left" vertical="center"/>
      <protection hidden="1"/>
    </xf>
    <xf numFmtId="40" fontId="2" fillId="0" borderId="2" xfId="1" applyNumberFormat="1" applyFont="1" applyBorder="1" applyAlignment="1" applyProtection="1">
      <alignment horizontal="center" vertical="center"/>
      <protection hidden="1"/>
    </xf>
    <xf numFmtId="40" fontId="2" fillId="0" borderId="3" xfId="1" applyNumberFormat="1" applyFont="1" applyBorder="1" applyAlignment="1" applyProtection="1">
      <alignment horizontal="center" vertical="center" wrapText="1"/>
      <protection hidden="1"/>
    </xf>
    <xf numFmtId="40" fontId="2" fillId="0" borderId="0" xfId="1" applyNumberFormat="1" applyFont="1" applyBorder="1" applyAlignment="1" applyProtection="1">
      <alignment horizontal="center" vertical="center"/>
      <protection hidden="1"/>
    </xf>
    <xf numFmtId="10" fontId="0" fillId="0" borderId="0" xfId="2" applyNumberFormat="1" applyFont="1" applyFill="1" applyProtection="1">
      <protection hidden="1"/>
    </xf>
    <xf numFmtId="166" fontId="0" fillId="0" borderId="0" xfId="2" applyNumberFormat="1" applyFont="1" applyProtection="1">
      <protection hidden="1"/>
    </xf>
    <xf numFmtId="37" fontId="0" fillId="0" borderId="0" xfId="0" applyNumberFormat="1" applyProtection="1">
      <protection hidden="1"/>
    </xf>
    <xf numFmtId="9" fontId="2" fillId="0" borderId="0" xfId="2" applyFont="1" applyBorder="1" applyAlignment="1" applyProtection="1">
      <alignment horizontal="center" vertical="center"/>
      <protection hidden="1"/>
    </xf>
    <xf numFmtId="40" fontId="0" fillId="0" borderId="0" xfId="1" applyNumberFormat="1" applyFont="1" applyBorder="1" applyAlignment="1" applyProtection="1">
      <alignment horizontal="center" vertical="center"/>
      <protection hidden="1"/>
    </xf>
    <xf numFmtId="40" fontId="0" fillId="0" borderId="0" xfId="1" applyNumberFormat="1" applyFont="1" applyBorder="1" applyAlignment="1" applyProtection="1">
      <alignment horizontal="center" vertical="center" wrapText="1"/>
      <protection hidden="1"/>
    </xf>
    <xf numFmtId="40" fontId="0" fillId="0" borderId="0" xfId="1" applyNumberFormat="1" applyFont="1" applyProtection="1">
      <protection hidden="1"/>
    </xf>
    <xf numFmtId="40" fontId="0" fillId="0" borderId="7" xfId="1" applyNumberFormat="1" applyFont="1" applyBorder="1" applyAlignment="1" applyProtection="1">
      <alignment horizontal="center" vertical="center" wrapText="1"/>
      <protection hidden="1"/>
    </xf>
    <xf numFmtId="40" fontId="0" fillId="0" borderId="8" xfId="1" applyNumberFormat="1" applyFont="1" applyBorder="1" applyAlignment="1" applyProtection="1">
      <alignment horizontal="center" vertical="center" wrapText="1"/>
      <protection hidden="1"/>
    </xf>
    <xf numFmtId="10" fontId="0" fillId="0" borderId="8" xfId="2" applyNumberFormat="1" applyFont="1" applyBorder="1" applyAlignment="1" applyProtection="1">
      <alignment horizontal="right" vertical="center" wrapText="1"/>
      <protection hidden="1"/>
    </xf>
    <xf numFmtId="40" fontId="0" fillId="0" borderId="23" xfId="0" applyNumberFormat="1" applyBorder="1" applyProtection="1">
      <protection hidden="1"/>
    </xf>
    <xf numFmtId="0" fontId="9" fillId="0" borderId="24" xfId="3" applyFont="1" applyBorder="1" applyAlignment="1" applyProtection="1">
      <alignment horizontal="center" vertical="center"/>
      <protection hidden="1"/>
    </xf>
    <xf numFmtId="40" fontId="2" fillId="0" borderId="24" xfId="1" applyNumberFormat="1" applyFont="1" applyBorder="1" applyAlignment="1" applyProtection="1">
      <alignment horizontal="center" vertical="center"/>
      <protection hidden="1"/>
    </xf>
    <xf numFmtId="40" fontId="2" fillId="0" borderId="24" xfId="1" applyNumberFormat="1" applyFont="1" applyBorder="1" applyAlignment="1" applyProtection="1">
      <alignment horizontal="center" vertical="center" wrapText="1"/>
      <protection hidden="1"/>
    </xf>
    <xf numFmtId="10" fontId="2" fillId="3" borderId="1" xfId="2" applyNumberFormat="1" applyFont="1" applyFill="1" applyBorder="1" applyProtection="1">
      <protection locked="0" hidden="1"/>
    </xf>
    <xf numFmtId="10" fontId="2" fillId="0" borderId="1" xfId="2" applyNumberFormat="1" applyFont="1" applyFill="1" applyBorder="1" applyProtection="1">
      <protection hidden="1"/>
    </xf>
    <xf numFmtId="10" fontId="2" fillId="0" borderId="0" xfId="2" applyNumberFormat="1" applyFont="1" applyFill="1" applyBorder="1" applyProtection="1">
      <protection hidden="1"/>
    </xf>
    <xf numFmtId="37" fontId="7" fillId="0" borderId="0" xfId="3" applyNumberFormat="1" applyFont="1" applyAlignment="1" applyProtection="1">
      <alignment horizontal="center" vertical="center"/>
      <protection hidden="1"/>
    </xf>
    <xf numFmtId="10" fontId="0" fillId="3" borderId="1" xfId="2" applyNumberFormat="1" applyFont="1" applyFill="1" applyBorder="1" applyProtection="1">
      <protection locked="0" hidden="1"/>
    </xf>
    <xf numFmtId="10" fontId="0" fillId="0" borderId="1" xfId="2" applyNumberFormat="1" applyFont="1" applyFill="1" applyBorder="1" applyProtection="1">
      <protection hidden="1"/>
    </xf>
    <xf numFmtId="10" fontId="0" fillId="0" borderId="0" xfId="2" applyNumberFormat="1" applyFont="1" applyFill="1" applyBorder="1" applyProtection="1">
      <protection hidden="1"/>
    </xf>
    <xf numFmtId="40" fontId="2" fillId="0" borderId="0" xfId="1" applyNumberFormat="1" applyFont="1" applyProtection="1">
      <protection hidden="1"/>
    </xf>
    <xf numFmtId="0" fontId="2" fillId="0" borderId="13" xfId="0" applyFont="1" applyBorder="1" applyProtection="1">
      <protection hidden="1"/>
    </xf>
    <xf numFmtId="166" fontId="2" fillId="0" borderId="2" xfId="2" applyNumberFormat="1" applyFont="1" applyBorder="1" applyProtection="1">
      <protection hidden="1"/>
    </xf>
    <xf numFmtId="0" fontId="0" fillId="0" borderId="4" xfId="0" applyBorder="1" applyProtection="1">
      <protection hidden="1"/>
    </xf>
    <xf numFmtId="38" fontId="2" fillId="3" borderId="14" xfId="0" applyNumberFormat="1" applyFont="1" applyFill="1" applyBorder="1" applyAlignment="1" applyProtection="1">
      <alignment horizontal="center" vertical="center"/>
      <protection locked="0" hidden="1"/>
    </xf>
    <xf numFmtId="40" fontId="0" fillId="0" borderId="0" xfId="1" applyNumberFormat="1" applyFont="1" applyBorder="1" applyProtection="1">
      <protection hidden="1"/>
    </xf>
    <xf numFmtId="40" fontId="0" fillId="3" borderId="0" xfId="1" applyNumberFormat="1" applyFont="1" applyFill="1" applyBorder="1" applyProtection="1">
      <protection locked="0" hidden="1"/>
    </xf>
    <xf numFmtId="0" fontId="0" fillId="0" borderId="5" xfId="0" applyBorder="1" applyProtection="1">
      <protection hidden="1"/>
    </xf>
    <xf numFmtId="40" fontId="2" fillId="0" borderId="3" xfId="1" applyNumberFormat="1" applyFont="1" applyBorder="1" applyAlignment="1" applyProtection="1">
      <alignment horizontal="center" vertical="center"/>
      <protection hidden="1"/>
    </xf>
    <xf numFmtId="40" fontId="2" fillId="0" borderId="7" xfId="1" applyNumberFormat="1" applyFont="1" applyBorder="1" applyAlignment="1" applyProtection="1">
      <alignment horizontal="center" vertical="center"/>
      <protection hidden="1"/>
    </xf>
    <xf numFmtId="9" fontId="2" fillId="0" borderId="8" xfId="2" applyFont="1" applyBorder="1" applyAlignment="1" applyProtection="1">
      <alignment horizontal="center" vertical="center"/>
      <protection hidden="1"/>
    </xf>
    <xf numFmtId="40" fontId="2" fillId="0" borderId="8" xfId="1" applyNumberFormat="1" applyFont="1" applyBorder="1" applyAlignment="1" applyProtection="1">
      <alignment horizontal="center" vertical="center"/>
      <protection hidden="1"/>
    </xf>
    <xf numFmtId="40" fontId="0" fillId="0" borderId="5" xfId="1" applyNumberFormat="1" applyFont="1" applyBorder="1" applyAlignment="1" applyProtection="1">
      <alignment horizontal="center" vertical="center" wrapText="1"/>
      <protection hidden="1"/>
    </xf>
    <xf numFmtId="38" fontId="2" fillId="0" borderId="21" xfId="1" applyNumberFormat="1" applyFont="1" applyBorder="1" applyAlignment="1" applyProtection="1">
      <alignment horizontal="center" vertical="center"/>
      <protection hidden="1"/>
    </xf>
    <xf numFmtId="43" fontId="2" fillId="2" borderId="20" xfId="1" applyFont="1" applyFill="1" applyBorder="1" applyAlignment="1" applyProtection="1">
      <alignment horizontal="center"/>
      <protection hidden="1"/>
    </xf>
    <xf numFmtId="43" fontId="2" fillId="2" borderId="21" xfId="1" applyFont="1" applyFill="1" applyBorder="1" applyAlignment="1" applyProtection="1">
      <alignment horizontal="center"/>
      <protection hidden="1"/>
    </xf>
    <xf numFmtId="40" fontId="2" fillId="0" borderId="21" xfId="1" applyNumberFormat="1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40" fontId="2" fillId="0" borderId="1" xfId="1" applyNumberFormat="1" applyFont="1" applyFill="1" applyBorder="1" applyProtection="1">
      <protection hidden="1"/>
    </xf>
    <xf numFmtId="38" fontId="2" fillId="0" borderId="17" xfId="1" applyNumberFormat="1" applyFont="1" applyFill="1" applyBorder="1" applyAlignment="1" applyProtection="1">
      <alignment horizontal="center" vertical="center"/>
      <protection hidden="1"/>
    </xf>
    <xf numFmtId="40" fontId="2" fillId="0" borderId="16" xfId="1" applyNumberFormat="1" applyFont="1" applyFill="1" applyBorder="1" applyProtection="1">
      <protection hidden="1"/>
    </xf>
    <xf numFmtId="40" fontId="2" fillId="0" borderId="17" xfId="1" applyNumberFormat="1" applyFont="1" applyFill="1" applyBorder="1" applyProtection="1">
      <protection hidden="1"/>
    </xf>
    <xf numFmtId="38" fontId="0" fillId="0" borderId="12" xfId="1" applyNumberFormat="1" applyFont="1" applyBorder="1" applyAlignment="1" applyProtection="1">
      <alignment horizontal="center" vertical="center"/>
      <protection hidden="1"/>
    </xf>
    <xf numFmtId="40" fontId="0" fillId="0" borderId="15" xfId="1" applyNumberFormat="1" applyFont="1" applyBorder="1" applyProtection="1">
      <protection hidden="1"/>
    </xf>
    <xf numFmtId="40" fontId="0" fillId="0" borderId="12" xfId="1" applyNumberFormat="1" applyFont="1" applyBorder="1" applyProtection="1">
      <protection hidden="1"/>
    </xf>
    <xf numFmtId="38" fontId="0" fillId="0" borderId="10" xfId="1" applyNumberFormat="1" applyFont="1" applyBorder="1" applyAlignment="1" applyProtection="1">
      <alignment horizontal="center" vertical="center"/>
      <protection hidden="1"/>
    </xf>
    <xf numFmtId="40" fontId="0" fillId="0" borderId="9" xfId="1" applyNumberFormat="1" applyFont="1" applyBorder="1" applyProtection="1">
      <protection hidden="1"/>
    </xf>
    <xf numFmtId="40" fontId="0" fillId="0" borderId="10" xfId="1" applyNumberFormat="1" applyFont="1" applyBorder="1" applyProtection="1">
      <protection hidden="1"/>
    </xf>
    <xf numFmtId="38" fontId="0" fillId="0" borderId="11" xfId="1" applyNumberFormat="1" applyFont="1" applyBorder="1" applyAlignment="1" applyProtection="1">
      <alignment horizontal="center" vertical="center"/>
      <protection hidden="1"/>
    </xf>
    <xf numFmtId="40" fontId="0" fillId="0" borderId="19" xfId="1" applyNumberFormat="1" applyFont="1" applyBorder="1" applyProtection="1">
      <protection hidden="1"/>
    </xf>
    <xf numFmtId="40" fontId="0" fillId="0" borderId="11" xfId="1" applyNumberFormat="1" applyFont="1" applyBorder="1" applyProtection="1">
      <protection hidden="1"/>
    </xf>
    <xf numFmtId="43" fontId="0" fillId="0" borderId="0" xfId="1" applyFont="1" applyFill="1" applyProtection="1">
      <protection hidden="1"/>
    </xf>
    <xf numFmtId="9" fontId="0" fillId="0" borderId="0" xfId="2" applyFont="1" applyFill="1" applyProtection="1">
      <protection hidden="1"/>
    </xf>
    <xf numFmtId="10" fontId="0" fillId="0" borderId="22" xfId="2" applyNumberFormat="1" applyFont="1" applyFill="1" applyBorder="1" applyAlignment="1" applyProtection="1">
      <alignment horizontal="left"/>
      <protection hidden="1"/>
    </xf>
    <xf numFmtId="168" fontId="2" fillId="0" borderId="0" xfId="2" applyNumberFormat="1" applyFont="1" applyFill="1" applyBorder="1" applyProtection="1">
      <protection hidden="1"/>
    </xf>
    <xf numFmtId="168" fontId="0" fillId="0" borderId="0" xfId="2" applyNumberFormat="1" applyFont="1" applyFill="1" applyAlignment="1" applyProtection="1">
      <alignment horizontal="right"/>
      <protection hidden="1"/>
    </xf>
    <xf numFmtId="9" fontId="0" fillId="0" borderId="0" xfId="2" applyFont="1" applyFill="1" applyAlignment="1" applyProtection="1">
      <alignment horizontal="left"/>
      <protection hidden="1"/>
    </xf>
    <xf numFmtId="10" fontId="0" fillId="0" borderId="0" xfId="2" applyNumberFormat="1" applyFont="1" applyFill="1" applyAlignment="1" applyProtection="1">
      <alignment horizontal="left"/>
      <protection hidden="1"/>
    </xf>
    <xf numFmtId="167" fontId="2" fillId="0" borderId="0" xfId="0" applyNumberFormat="1" applyFont="1" applyProtection="1">
      <protection hidden="1"/>
    </xf>
    <xf numFmtId="169" fontId="2" fillId="6" borderId="26" xfId="1" applyNumberFormat="1" applyFont="1" applyFill="1" applyBorder="1" applyAlignment="1" applyProtection="1">
      <alignment horizontal="center" vertical="center"/>
      <protection locked="0"/>
    </xf>
    <xf numFmtId="169" fontId="2" fillId="3" borderId="26" xfId="1" applyNumberFormat="1" applyFont="1" applyFill="1" applyBorder="1" applyAlignment="1" applyProtection="1">
      <alignment horizontal="center" vertical="center"/>
      <protection hidden="1"/>
    </xf>
    <xf numFmtId="169" fontId="2" fillId="3" borderId="28" xfId="0" applyNumberFormat="1" applyFont="1" applyFill="1" applyBorder="1" applyAlignment="1" applyProtection="1">
      <alignment horizontal="center" vertical="center"/>
      <protection hidden="1"/>
    </xf>
    <xf numFmtId="169" fontId="9" fillId="3" borderId="26" xfId="2" applyNumberFormat="1" applyFont="1" applyFill="1" applyBorder="1" applyAlignment="1" applyProtection="1">
      <alignment horizontal="center" vertical="center"/>
      <protection hidden="1"/>
    </xf>
    <xf numFmtId="169" fontId="9" fillId="3" borderId="28" xfId="2" applyNumberFormat="1" applyFont="1" applyFill="1" applyBorder="1" applyAlignment="1" applyProtection="1">
      <alignment horizontal="center" vertical="center"/>
      <protection hidden="1"/>
    </xf>
    <xf numFmtId="169" fontId="2" fillId="3" borderId="36" xfId="1" applyNumberFormat="1" applyFont="1" applyFill="1" applyBorder="1" applyAlignment="1" applyProtection="1">
      <alignment horizontal="center" vertical="center"/>
      <protection hidden="1"/>
    </xf>
    <xf numFmtId="0" fontId="2" fillId="4" borderId="30" xfId="0" applyFont="1" applyFill="1" applyBorder="1" applyAlignment="1" applyProtection="1">
      <alignment horizontal="center" vertical="center"/>
      <protection hidden="1"/>
    </xf>
    <xf numFmtId="0" fontId="2" fillId="4" borderId="31" xfId="0" applyFont="1" applyFill="1" applyBorder="1" applyAlignment="1" applyProtection="1">
      <alignment horizontal="center" vertical="center"/>
      <protection hidden="1"/>
    </xf>
    <xf numFmtId="17" fontId="0" fillId="2" borderId="0" xfId="0" applyNumberFormat="1" applyFill="1" applyAlignment="1" applyProtection="1">
      <alignment horizontal="center" wrapText="1"/>
      <protection hidden="1"/>
    </xf>
    <xf numFmtId="17" fontId="0" fillId="2" borderId="8" xfId="0" applyNumberFormat="1" applyFill="1" applyBorder="1" applyAlignment="1" applyProtection="1">
      <alignment horizontal="center" wrapText="1"/>
      <protection hidden="1"/>
    </xf>
    <xf numFmtId="10" fontId="2" fillId="4" borderId="30" xfId="0" applyNumberFormat="1" applyFont="1" applyFill="1" applyBorder="1" applyAlignment="1" applyProtection="1">
      <alignment horizontal="center" vertical="center"/>
      <protection hidden="1"/>
    </xf>
    <xf numFmtId="0" fontId="2" fillId="4" borderId="30" xfId="0" applyFont="1" applyFill="1" applyBorder="1" applyAlignment="1" applyProtection="1">
      <alignment horizontal="center"/>
      <protection hidden="1"/>
    </xf>
    <xf numFmtId="0" fontId="2" fillId="4" borderId="31" xfId="0" applyFont="1" applyFill="1" applyBorder="1" applyAlignment="1" applyProtection="1">
      <alignment horizontal="center"/>
      <protection hidden="1"/>
    </xf>
    <xf numFmtId="40" fontId="2" fillId="0" borderId="0" xfId="1" applyNumberFormat="1" applyFont="1" applyBorder="1" applyAlignment="1" applyProtection="1">
      <alignment horizontal="center" wrapText="1"/>
      <protection hidden="1"/>
    </xf>
    <xf numFmtId="40" fontId="2" fillId="2" borderId="16" xfId="1" applyNumberFormat="1" applyFont="1" applyFill="1" applyBorder="1" applyAlignment="1" applyProtection="1">
      <alignment horizontal="center"/>
      <protection hidden="1"/>
    </xf>
    <xf numFmtId="40" fontId="2" fillId="2" borderId="17" xfId="1" applyNumberFormat="1" applyFont="1" applyFill="1" applyBorder="1" applyAlignment="1" applyProtection="1">
      <alignment horizontal="center"/>
      <protection hidden="1"/>
    </xf>
    <xf numFmtId="166" fontId="2" fillId="0" borderId="30" xfId="2" applyNumberFormat="1" applyFont="1" applyBorder="1" applyAlignment="1" applyProtection="1">
      <alignment horizontal="center"/>
      <protection hidden="1"/>
    </xf>
    <xf numFmtId="166" fontId="2" fillId="0" borderId="24" xfId="2" applyNumberFormat="1" applyFont="1" applyBorder="1" applyAlignment="1" applyProtection="1">
      <alignment horizontal="center"/>
      <protection hidden="1"/>
    </xf>
    <xf numFmtId="166" fontId="2" fillId="0" borderId="31" xfId="2" applyNumberFormat="1" applyFont="1" applyBorder="1" applyAlignment="1" applyProtection="1">
      <alignment horizontal="center"/>
      <protection hidden="1"/>
    </xf>
    <xf numFmtId="0" fontId="8" fillId="0" borderId="16" xfId="3" applyFont="1" applyBorder="1" applyAlignment="1" applyProtection="1">
      <alignment horizontal="center" vertical="top" wrapText="1"/>
      <protection hidden="1"/>
    </xf>
    <xf numFmtId="0" fontId="8" fillId="0" borderId="17" xfId="3" applyFont="1" applyBorder="1" applyAlignment="1" applyProtection="1">
      <alignment horizontal="center" vertical="top" wrapText="1"/>
      <protection hidden="1"/>
    </xf>
    <xf numFmtId="0" fontId="8" fillId="0" borderId="18" xfId="3" applyFont="1" applyBorder="1" applyAlignment="1" applyProtection="1">
      <alignment horizontal="center" vertical="top" wrapText="1"/>
      <protection hidden="1"/>
    </xf>
    <xf numFmtId="4" fontId="9" fillId="2" borderId="16" xfId="3" applyNumberFormat="1" applyFont="1" applyFill="1" applyBorder="1" applyAlignment="1" applyProtection="1">
      <alignment horizontal="center" vertical="center"/>
      <protection hidden="1"/>
    </xf>
    <xf numFmtId="0" fontId="9" fillId="2" borderId="18" xfId="3" applyFont="1" applyFill="1" applyBorder="1" applyAlignment="1" applyProtection="1">
      <alignment horizontal="center" vertical="center"/>
      <protection hidden="1"/>
    </xf>
    <xf numFmtId="1" fontId="9" fillId="6" borderId="28" xfId="1" applyNumberFormat="1" applyFont="1" applyFill="1" applyBorder="1" applyAlignment="1" applyProtection="1">
      <alignment horizontal="center" vertical="center"/>
      <protection locked="0"/>
    </xf>
  </cellXfs>
  <cellStyles count="5">
    <cellStyle name="Normal" xfId="0" builtinId="0"/>
    <cellStyle name="Normal 2" xfId="3" xr:uid="{47B2EDC9-F1F9-41A7-8F70-FFEB4F480B8B}"/>
    <cellStyle name="Porcentagem" xfId="2" builtinId="5"/>
    <cellStyle name="Vírgula" xfId="1" builtinId="3"/>
    <cellStyle name="Vírgula 2" xfId="4" xr:uid="{70A44689-46C5-435C-9146-36E4C9E038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1</xdr:row>
      <xdr:rowOff>114300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7770F26-7753-84C8-1D3A-186740311679}"/>
            </a:ext>
          </a:extLst>
        </xdr:cNvPr>
        <xdr:cNvSpPr txBox="1"/>
      </xdr:nvSpPr>
      <xdr:spPr>
        <a:xfrm>
          <a:off x="647700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209550</xdr:colOff>
      <xdr:row>1</xdr:row>
      <xdr:rowOff>85725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2C4829D7-9291-31F8-9020-CFB4A00DBEB2}"/>
            </a:ext>
          </a:extLst>
        </xdr:cNvPr>
        <xdr:cNvSpPr txBox="1"/>
      </xdr:nvSpPr>
      <xdr:spPr>
        <a:xfrm>
          <a:off x="2809875" y="27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353425" cy="4905375"/>
    <xdr:pic>
      <xdr:nvPicPr>
        <xdr:cNvPr id="2" name="Imagem 1" descr="Carteira Recomendada de Financiamento">
          <a:extLst>
            <a:ext uri="{FF2B5EF4-FFF2-40B4-BE49-F238E27FC236}">
              <a16:creationId xmlns:a16="http://schemas.microsoft.com/office/drawing/2014/main" id="{73FEB1ED-2C8A-46AF-8184-87F6768D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53425" cy="490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7460-9D5B-47F6-A834-48EBD54757BA}">
  <sheetPr codeName="Planilha3">
    <tabColor rgb="FFFF0000"/>
    <pageSetUpPr fitToPage="1"/>
  </sheetPr>
  <dimension ref="A1:P45"/>
  <sheetViews>
    <sheetView showGridLines="0" tabSelected="1" workbookViewId="0">
      <pane xSplit="4" ySplit="5" topLeftCell="E6" activePane="bottomRight" state="frozen"/>
      <selection pane="topRight" activeCell="E1" sqref="E1"/>
      <selection pane="bottomLeft" activeCell="A4" sqref="A4"/>
      <selection pane="bottomRight" activeCell="D4" sqref="D4"/>
    </sheetView>
  </sheetViews>
  <sheetFormatPr defaultRowHeight="15" x14ac:dyDescent="0.25"/>
  <cols>
    <col min="1" max="1" width="28" style="6" bestFit="1" customWidth="1"/>
    <col min="2" max="2" width="17.28515625" style="6" customWidth="1"/>
    <col min="3" max="3" width="1.7109375" style="6" customWidth="1"/>
    <col min="4" max="4" width="8.7109375" style="7" bestFit="1" customWidth="1"/>
    <col min="5" max="5" width="9.85546875" style="6" customWidth="1"/>
    <col min="6" max="6" width="12" style="6" customWidth="1"/>
    <col min="7" max="7" width="10.5703125" style="6" customWidth="1"/>
    <col min="8" max="8" width="14.28515625" style="6" customWidth="1"/>
    <col min="9" max="9" width="10.42578125" style="6" customWidth="1"/>
    <col min="10" max="10" width="12.140625" style="6" bestFit="1" customWidth="1"/>
    <col min="11" max="11" width="9.28515625" style="6" customWidth="1"/>
    <col min="12" max="12" width="14.140625" style="6" customWidth="1"/>
    <col min="13" max="13" width="20.5703125" style="6" customWidth="1"/>
    <col min="14" max="14" width="19" style="6" customWidth="1"/>
    <col min="15" max="15" width="9.140625" style="6"/>
    <col min="16" max="16" width="12" style="6" bestFit="1" customWidth="1"/>
    <col min="17" max="16384" width="9.140625" style="6"/>
  </cols>
  <sheetData>
    <row r="1" spans="1:16" x14ac:dyDescent="0.25">
      <c r="A1" s="173" t="s">
        <v>81</v>
      </c>
      <c r="B1" s="173"/>
      <c r="I1" s="8" t="s">
        <v>69</v>
      </c>
      <c r="J1" s="9"/>
      <c r="K1" s="9"/>
      <c r="L1" s="9"/>
    </row>
    <row r="2" spans="1:16" x14ac:dyDescent="0.25">
      <c r="A2" s="173"/>
      <c r="B2" s="173"/>
      <c r="F2" s="10"/>
      <c r="I2" s="11" t="s">
        <v>70</v>
      </c>
      <c r="J2" s="12"/>
      <c r="K2" s="12"/>
      <c r="L2" s="12"/>
    </row>
    <row r="3" spans="1:16" x14ac:dyDescent="0.25">
      <c r="A3" s="173"/>
      <c r="B3" s="173"/>
      <c r="I3" s="13" t="s">
        <v>71</v>
      </c>
      <c r="J3" s="14"/>
      <c r="K3" s="14"/>
      <c r="L3" s="14"/>
    </row>
    <row r="4" spans="1:16" x14ac:dyDescent="0.25">
      <c r="A4" s="174"/>
      <c r="B4" s="174"/>
      <c r="F4" s="15"/>
    </row>
    <row r="5" spans="1:16" ht="45.75" thickBot="1" x14ac:dyDescent="0.3">
      <c r="A5" s="171" t="s">
        <v>66</v>
      </c>
      <c r="B5" s="172"/>
      <c r="D5" s="16" t="s">
        <v>0</v>
      </c>
      <c r="E5" s="17" t="s">
        <v>23</v>
      </c>
      <c r="F5" s="17" t="s">
        <v>24</v>
      </c>
      <c r="G5" s="17" t="s">
        <v>22</v>
      </c>
      <c r="H5" s="17" t="s">
        <v>25</v>
      </c>
      <c r="I5" s="17" t="s">
        <v>39</v>
      </c>
      <c r="J5" s="17" t="s">
        <v>41</v>
      </c>
      <c r="K5" s="17" t="s">
        <v>40</v>
      </c>
      <c r="L5" s="18" t="s">
        <v>78</v>
      </c>
      <c r="M5" s="18" t="str">
        <f>"Saldo acumulado e investido a "&amp;TEXT(+Dashboard!$B$36,"0,0%")&amp;" do CDI"</f>
        <v>Saldo acumulado e investido a 100,0% do CDI</v>
      </c>
    </row>
    <row r="6" spans="1:16" ht="15.75" thickTop="1" x14ac:dyDescent="0.25">
      <c r="A6" s="19" t="s">
        <v>61</v>
      </c>
      <c r="B6" s="40">
        <v>45717</v>
      </c>
      <c r="D6" s="20">
        <v>1</v>
      </c>
      <c r="E6" s="21">
        <f>(IF($B$24="PRICE",'Price x SAC x SACRE'!B7,IF($B$24="sac",'Price x SAC x SACRE'!G7,IF($B$24="sacre",'Price x SAC x SACRE'!L7,""))))*-1</f>
        <v>-4100.918274350438</v>
      </c>
      <c r="F6" s="21">
        <f>IF($B$24="PRICE",'Price x SAC x SACRE'!C7,IF($B$24="sac",'Price x SAC x SACRE'!H7,IF($B$24="sacre",'Price x SAC x SACRE'!M7,"")))</f>
        <v>136.88013799902444</v>
      </c>
      <c r="G6" s="21">
        <f>IF($B$24="PRICE",'Price x SAC x SACRE'!D7,IF($B$24="sac",-'Price x SAC x SACRE'!I7,IF($B$24="sacre",'Price x SAC x SACRE'!N7,"")))</f>
        <v>3964.0381363514134</v>
      </c>
      <c r="H6" s="21">
        <f>(IF($B$24="PRICE",'Price x SAC x SACRE'!E7,IF($B$24="sac",'Price x SAC x SACRE'!J7,IF($B$24="sacre",'Price x SAC x SACRE'!O7,""))))*-1</f>
        <v>-417623.11986200098</v>
      </c>
      <c r="I6" s="21">
        <f>IF($D6=1,VLOOKUP($D6,'Base dinâmica'!$A$8:$O$367,6,0),"")</f>
        <v>10444</v>
      </c>
      <c r="J6" s="21">
        <f>IF($D6=1,VLOOKUP($D6,'Base dinâmica'!$A$8:$O$367,7,0),"")</f>
        <v>-403</v>
      </c>
      <c r="K6" s="21">
        <f>IF($D6=1,VLOOKUP($D6,'Base dinâmica'!$A$8:$O$367,8,0),"")</f>
        <v>-238.70000000000002</v>
      </c>
      <c r="L6" s="21">
        <f>IF($D6=1,VLOOKUP($D6,'Base dinâmica'!$A$8:$O$367,9,0),"")</f>
        <v>9802.2999999999993</v>
      </c>
      <c r="M6" s="21">
        <f>IF($D6=1,VLOOKUP($D6,'Base dinâmica'!$A$8:$O$367,15,0),"")</f>
        <v>5701.3817256495613</v>
      </c>
      <c r="O6" s="22"/>
      <c r="P6" s="23"/>
    </row>
    <row r="7" spans="1:16" x14ac:dyDescent="0.25">
      <c r="A7" s="24" t="s">
        <v>72</v>
      </c>
      <c r="B7" s="41">
        <v>45717</v>
      </c>
      <c r="D7" s="25">
        <f>IF(+D6+11&gt;$B$27,"",IF(D6="","",+D6+11))</f>
        <v>12</v>
      </c>
      <c r="E7" s="26">
        <f>(IF($B$24="PRICE",'Price x SAC x SACRE'!B18,IF($B$24="sac",'Price x SAC x SACRE'!G18,IF($B$24="sacre",'Price x SAC x SACRE'!L18,""))))*-1</f>
        <v>-4100.9182743504371</v>
      </c>
      <c r="F7" s="26">
        <f>IF($B$24="PRICE",'Price x SAC x SACRE'!C18,IF($B$24="sac",'Price x SAC x SACRE'!H18,IF($B$24="sacre",'Price x SAC x SACRE'!M18,"")))</f>
        <v>151.86474147300615</v>
      </c>
      <c r="G7" s="26">
        <f>IF($B$24="PRICE",'Price x SAC x SACRE'!D18,IF($B$24="sac",'Price x SAC x SACRE'!I18,IF($B$24="sacre",-'Price x SAC x SACRE'!N18,"")))</f>
        <v>3949.0535328774308</v>
      </c>
      <c r="H7" s="26">
        <f>(IF($B$24="PRICE",'Price x SAC x SACRE'!E18,IF($B$24="sac",'Price x SAC x SACRE'!J18,IF($B$24="sacre",'Price x SAC x SACRE'!O18,""))))*-1</f>
        <v>-416028.9456211002</v>
      </c>
      <c r="I7" s="26">
        <f>IF($D7=12,VLOOKUP($D7,'Base dinâmica'!$A$8:$O$367,6,0),"")</f>
        <v>10444</v>
      </c>
      <c r="J7" s="26">
        <f>IF($D7=12,VLOOKUP($D7,'Base dinâmica'!$A$8:$O$367,7,0),"")</f>
        <v>-403</v>
      </c>
      <c r="K7" s="26">
        <f>IF($D7=12,VLOOKUP($D7,'Base dinâmica'!$A$8:$O$367,8,0),"")</f>
        <v>0</v>
      </c>
      <c r="L7" s="26">
        <f>IF($D7=12,VLOOKUP($D7,'Base dinâmica'!$A$8:$O$367,9,0),"")</f>
        <v>10041</v>
      </c>
      <c r="M7" s="26">
        <f>IF($D7=1+11,VLOOKUP($D7,'Base dinâmica'!$A$8:$O$367,15,0),"")</f>
        <v>72204.827674826898</v>
      </c>
      <c r="O7" s="22"/>
    </row>
    <row r="8" spans="1:16" x14ac:dyDescent="0.25">
      <c r="A8" s="24" t="s">
        <v>51</v>
      </c>
      <c r="B8" s="42">
        <v>1</v>
      </c>
      <c r="D8" s="25">
        <f t="shared" ref="D8:D36" si="0">IF(D7="","",IF(+D7+12&gt;$B$27,"",+D7+12))</f>
        <v>24</v>
      </c>
      <c r="E8" s="26">
        <f>(IF($B$24="PRICE",'Price x SAC x SACRE'!B30,IF($B$24="sac",'Price x SAC x SACRE'!G30,IF($B$24="sacre",'Price x SAC x SACRE'!L30,""))))*-1</f>
        <v>-4100.918274350438</v>
      </c>
      <c r="F8" s="26">
        <f>IF($B$24="PRICE",'Price x SAC x SACRE'!C30,IF($B$24="sac",'Price x SAC x SACRE'!H30,IF($B$24="sacre",'Price x SAC x SACRE'!M30,"")))</f>
        <v>170.08851044976703</v>
      </c>
      <c r="G8" s="26">
        <f>IF($B$24="PRICE",'Price x SAC x SACRE'!D30,IF($B$24="sac",'Price x SAC x SACRE'!I30,IF($B$24="sacre",'Price x SAC x SACRE'!N30,"")))</f>
        <v>3930.829763900671</v>
      </c>
      <c r="H8" s="26">
        <f>(IF($B$24="PRICE",'Price x SAC x SACRE'!E30,IF($B$24="sac",'Price x SAC x SACRE'!J30,IF($B$24="sacre",'Price x SAC x SACRE'!O30,""))))*-1</f>
        <v>-414090.16471673257</v>
      </c>
      <c r="I8" s="26">
        <f>IF($D8=D7+12,VLOOKUP($D8,'Base dinâmica'!$A$8:$O$367,6,0),"")</f>
        <v>10966.20000000001</v>
      </c>
      <c r="J8" s="26">
        <f>IF($D8=+D7+12,VLOOKUP($D8,'Base dinâmica'!$A$8:$O$367,7,0),"")</f>
        <v>-423.15000000000038</v>
      </c>
      <c r="K8" s="26">
        <f>IF($D8=D7+12,VLOOKUP($D8,'Base dinâmica'!$A$8:$O$367,8,0),"")</f>
        <v>0</v>
      </c>
      <c r="L8" s="26">
        <f>IF($D8=D7+12,VLOOKUP($D8,'Base dinâmica'!$A$8:$O$367,9,0),"")</f>
        <v>10543.05000000001</v>
      </c>
      <c r="M8" s="26">
        <f>IF($D8=D7+12,VLOOKUP($D8,'Base dinâmica'!$A$8:$O$367,15,0),"")</f>
        <v>158361.46544217193</v>
      </c>
      <c r="O8" s="22"/>
      <c r="P8" s="23"/>
    </row>
    <row r="9" spans="1:16" x14ac:dyDescent="0.25">
      <c r="A9" s="24" t="s">
        <v>55</v>
      </c>
      <c r="B9" s="43">
        <v>31</v>
      </c>
      <c r="D9" s="25">
        <f t="shared" si="0"/>
        <v>36</v>
      </c>
      <c r="E9" s="26">
        <f>(IF($B$24="PRICE",'Price x SAC x SACRE'!B42,IF($B$24="sac",'Price x SAC x SACRE'!G42,IF($B$24="sacre",'Price x SAC x SACRE'!L42,""))))*-1</f>
        <v>-4100.9182743504389</v>
      </c>
      <c r="F9" s="26">
        <f>IF($B$24="PRICE",'Price x SAC x SACRE'!C42,IF($B$24="sac",'Price x SAC x SACRE'!H42,IF($B$24="sacre",'Price x SAC x SACRE'!M42,"")))</f>
        <v>190.49913170373927</v>
      </c>
      <c r="G9" s="26">
        <f>IF($B$24="PRICE",'Price x SAC x SACRE'!D42,IF($B$24="sac",'Price x SAC x SACRE'!I42,IF($B$24="sacre",'Price x SAC x SACRE'!N42,"")))</f>
        <v>3910.4191426466996</v>
      </c>
      <c r="H9" s="26">
        <f>(IF($B$24="PRICE",'Price x SAC x SACRE'!E42,IF($B$24="sac",'Price x SAC x SACRE'!J42,IF($B$24="sacre",'Price x SAC x SACRE'!O42,""))))*-1</f>
        <v>-411918.73010384076</v>
      </c>
      <c r="I9" s="26">
        <f>IF($D9=D8+12,VLOOKUP($D9,'Base dinâmica'!$A$8:$O$367,6,0),"")</f>
        <v>11514.51000000002</v>
      </c>
      <c r="J9" s="26">
        <f>IF($D9=+D8+12,VLOOKUP($D9,'Base dinâmica'!$A$8:$O$367,7,0),"")</f>
        <v>-444.3075000000008</v>
      </c>
      <c r="K9" s="26">
        <f>IF($D9=D8+12,VLOOKUP($D9,'Base dinâmica'!$A$8:$O$367,8,0),"")</f>
        <v>0</v>
      </c>
      <c r="L9" s="26">
        <f>IF($D9=D8+12,VLOOKUP($D9,'Base dinâmica'!$A$8:$O$367,9,0),"")</f>
        <v>11070.202500000019</v>
      </c>
      <c r="M9" s="26">
        <f>IF($D9=D8+12,VLOOKUP($D9,'Base dinâmica'!$A$8:$O$367,15,0),"")</f>
        <v>260279.22244285446</v>
      </c>
      <c r="O9" s="22"/>
    </row>
    <row r="10" spans="1:16" x14ac:dyDescent="0.25">
      <c r="A10" s="24" t="s">
        <v>38</v>
      </c>
      <c r="B10" s="165">
        <v>522200</v>
      </c>
      <c r="D10" s="25">
        <f t="shared" si="0"/>
        <v>48</v>
      </c>
      <c r="E10" s="26">
        <f>(IF($B$24="PRICE",'Price x SAC x SACRE'!B54,IF($B$24="sac",'Price x SAC x SACRE'!G54,IF($B$24="sacre",'Price x SAC x SACRE'!L54,""))))*-1</f>
        <v>-4100.9182743504389</v>
      </c>
      <c r="F10" s="26">
        <f>IF($B$24="PRICE",'Price x SAC x SACRE'!C54,IF($B$24="sac",'Price x SAC x SACRE'!H54,IF($B$24="sacre",'Price x SAC x SACRE'!M54,"")))</f>
        <v>213.35902750818818</v>
      </c>
      <c r="G10" s="26">
        <f>IF($B$24="PRICE",'Price x SAC x SACRE'!D54,IF($B$24="sac",'Price x SAC x SACRE'!I54,IF($B$24="sacre",'Price x SAC x SACRE'!N54,"")))</f>
        <v>3887.559246842251</v>
      </c>
      <c r="H10" s="26">
        <f>(IF($B$24="PRICE",'Price x SAC x SACRE'!E54,IF($B$24="sac",'Price x SAC x SACRE'!J54,IF($B$24="sacre",'Price x SAC x SACRE'!O54,""))))*-1</f>
        <v>-409486.72333740193</v>
      </c>
      <c r="I10" s="26">
        <f>IF($D10=D9+12,VLOOKUP($D10,'Base dinâmica'!$A$8:$O$367,6,0),"")</f>
        <v>12090.235500000032</v>
      </c>
      <c r="J10" s="26">
        <f>IF($D10=+D9+12,VLOOKUP($D10,'Base dinâmica'!$A$8:$O$367,7,0),"")</f>
        <v>-466.52287500000125</v>
      </c>
      <c r="K10" s="26">
        <f>IF($D10=D9+12,VLOOKUP($D10,'Base dinâmica'!$A$8:$O$367,8,0),"")</f>
        <v>0</v>
      </c>
      <c r="L10" s="26">
        <f>IF($D10=D9+12,VLOOKUP($D10,'Base dinâmica'!$A$8:$O$367,9,0),"")</f>
        <v>11623.712625000031</v>
      </c>
      <c r="M10" s="26">
        <f>IF($D10=D9+12,VLOOKUP($D10,'Base dinâmica'!$A$8:$O$367,15,0),"")</f>
        <v>379977.38302812522</v>
      </c>
      <c r="O10" s="22"/>
    </row>
    <row r="11" spans="1:16" x14ac:dyDescent="0.25">
      <c r="A11" s="24" t="s">
        <v>53</v>
      </c>
      <c r="B11" s="166">
        <f>+B10*B8</f>
        <v>522200</v>
      </c>
      <c r="D11" s="25">
        <f t="shared" si="0"/>
        <v>60</v>
      </c>
      <c r="E11" s="26">
        <f>(IF($B$24="PRICE",'Price x SAC x SACRE'!B66,IF($B$24="sac",'Price x SAC x SACRE'!G66,IF($B$24="sacre",'Price x SAC x SACRE'!L66,""))))*-1</f>
        <v>-4100.9182743504389</v>
      </c>
      <c r="F11" s="26">
        <f>IF($B$24="PRICE",'Price x SAC x SACRE'!C66,IF($B$24="sac",'Price x SAC x SACRE'!H66,IF($B$24="sacre",'Price x SAC x SACRE'!M66,"")))</f>
        <v>238.96211080917087</v>
      </c>
      <c r="G11" s="26">
        <f>IF($B$24="PRICE",'Price x SAC x SACRE'!D66,IF($B$24="sac",'Price x SAC x SACRE'!I66,IF($B$24="sacre",'Price x SAC x SACRE'!N66,"")))</f>
        <v>3861.9561635412683</v>
      </c>
      <c r="H11" s="26">
        <f>(IF($B$24="PRICE",'Price x SAC x SACRE'!E66,IF($B$24="sac",'Price x SAC x SACRE'!J66,IF($B$24="sacre",'Price x SAC x SACRE'!O66,""))))*-1</f>
        <v>-406762.87575899041</v>
      </c>
      <c r="I11" s="26">
        <f>IF($D11=D10+12,VLOOKUP($D11,'Base dinâmica'!$A$8:$O$367,6,0),"")</f>
        <v>12694.747275000045</v>
      </c>
      <c r="J11" s="26">
        <f>IF($D11=+D10+12,VLOOKUP($D11,'Base dinâmica'!$A$8:$O$367,7,0),"")</f>
        <v>-489.84901875000173</v>
      </c>
      <c r="K11" s="26">
        <f>IF($D11=D10+12,VLOOKUP($D11,'Base dinâmica'!$A$8:$O$367,8,0),"")</f>
        <v>0</v>
      </c>
      <c r="L11" s="26">
        <f>IF($D11=D10+12,VLOOKUP($D11,'Base dinâmica'!$A$8:$O$367,9,0),"")</f>
        <v>12204.898256250044</v>
      </c>
      <c r="M11" s="26">
        <f>IF($D11=D10+12,VLOOKUP($D11,'Base dinâmica'!$A$8:$O$367,15,0),"")</f>
        <v>519708.55281867896</v>
      </c>
      <c r="O11" s="22"/>
    </row>
    <row r="12" spans="1:16" x14ac:dyDescent="0.25">
      <c r="A12" s="29" t="str">
        <f>IF(B17=100%,"Pagamento à vista","Pagto do Ato")</f>
        <v>Pagto do Ato</v>
      </c>
      <c r="B12" s="170">
        <f>+B17*$B$11</f>
        <v>104440</v>
      </c>
      <c r="D12" s="25">
        <f t="shared" si="0"/>
        <v>72</v>
      </c>
      <c r="E12" s="26">
        <f>(IF($B$24="PRICE",'Price x SAC x SACRE'!B78,IF($B$24="sac",'Price x SAC x SACRE'!G78,IF($B$24="sacre",'Price x SAC x SACRE'!L78,""))))*-1</f>
        <v>-4100.9182743504398</v>
      </c>
      <c r="F12" s="26">
        <f>IF($B$24="PRICE",'Price x SAC x SACRE'!C78,IF($B$24="sac",'Price x SAC x SACRE'!H78,IF($B$24="sacre",'Price x SAC x SACRE'!M78,"")))</f>
        <v>267.63756410627161</v>
      </c>
      <c r="G12" s="26">
        <f>IF($B$24="PRICE",'Price x SAC x SACRE'!D78,IF($B$24="sac",'Price x SAC x SACRE'!I78,IF($B$24="sacre",'Price x SAC x SACRE'!N78,"")))</f>
        <v>3833.2807102441679</v>
      </c>
      <c r="H12" s="26">
        <f>(IF($B$24="PRICE",'Price x SAC x SACRE'!E78,IF($B$24="sac",'Price x SAC x SACRE'!J78,IF($B$24="sacre",'Price x SAC x SACRE'!O78,""))))*-1</f>
        <v>-403712.1664711695</v>
      </c>
      <c r="I12" s="26">
        <f>IF($D12=D11+12,VLOOKUP($D12,'Base dinâmica'!$A$8:$O$367,6,0),"")</f>
        <v>13329.48463875006</v>
      </c>
      <c r="J12" s="26">
        <f>IF($D12=+D11+12,VLOOKUP($D12,'Base dinâmica'!$A$8:$O$367,7,0),"")</f>
        <v>-514.34146968750224</v>
      </c>
      <c r="K12" s="26">
        <f>IF($D12=D11+12,VLOOKUP($D12,'Base dinâmica'!$A$8:$O$367,8,0),"")</f>
        <v>0</v>
      </c>
      <c r="L12" s="26">
        <f>IF($D12=D11+12,VLOOKUP($D12,'Base dinâmica'!$A$8:$O$367,9,0),"")</f>
        <v>12815.143169062558</v>
      </c>
      <c r="M12" s="26">
        <f>IF($D12=D11+12,VLOOKUP($D12,'Base dinâmica'!$A$8:$O$367,15,0),"")</f>
        <v>681984.55315120204</v>
      </c>
      <c r="O12" s="22"/>
    </row>
    <row r="13" spans="1:16" x14ac:dyDescent="0.25">
      <c r="A13" s="27" t="s">
        <v>21</v>
      </c>
      <c r="B13" s="167">
        <f>IF(DATEDIF(B6,B7,"m")=0,-VLOOKUP(DATEDIF(B6,B7,"m")+1,'Simulação Fluxo de pag.'!$A$8:$E$43,5,0),-VLOOKUP(DATEDIF(B6,B7,"m"),'Simulação Fluxo de pag.'!$A$8:$E$43,5,0))</f>
        <v>417760</v>
      </c>
      <c r="D13" s="25">
        <f t="shared" si="0"/>
        <v>84</v>
      </c>
      <c r="E13" s="26">
        <f>(IF($B$24="PRICE",'Price x SAC x SACRE'!B90,IF($B$24="sac",'Price x SAC x SACRE'!G90,IF($B$24="sacre",'Price x SAC x SACRE'!L90,""))))*-1</f>
        <v>-4100.9182743504389</v>
      </c>
      <c r="F13" s="26">
        <f>IF($B$24="PRICE",'Price x SAC x SACRE'!C90,IF($B$24="sac",'Price x SAC x SACRE'!H90,IF($B$24="sacre",'Price x SAC x SACRE'!M90,"")))</f>
        <v>299.75407179902453</v>
      </c>
      <c r="G13" s="26">
        <f>IF($B$24="PRICE",'Price x SAC x SACRE'!D90,IF($B$24="sac",'Price x SAC x SACRE'!I90,IF($B$24="sacre",'Price x SAC x SACRE'!N90,"")))</f>
        <v>3801.1642025514143</v>
      </c>
      <c r="H13" s="26">
        <f>(IF($B$24="PRICE",'Price x SAC x SACRE'!E90,IF($B$24="sac",'Price x SAC x SACRE'!J90,IF($B$24="sacre",'Price x SAC x SACRE'!O90,""))))*-1</f>
        <v>-400295.37206880993</v>
      </c>
      <c r="I13" s="26">
        <f>IF($D13=D12+12,VLOOKUP($D13,'Base dinâmica'!$A$8:$O$367,6,0),"")</f>
        <v>13995.958870687575</v>
      </c>
      <c r="J13" s="26">
        <f>IF($D13=+D12+12,VLOOKUP($D13,'Base dinâmica'!$A$8:$O$367,7,0),"")</f>
        <v>-540.05854317187789</v>
      </c>
      <c r="K13" s="26">
        <f>IF($D13=D12+12,VLOOKUP($D13,'Base dinâmica'!$A$8:$O$367,8,0),"")</f>
        <v>0</v>
      </c>
      <c r="L13" s="26">
        <f>IF($D13=D12+12,VLOOKUP($D13,'Base dinâmica'!$A$8:$O$367,9,0),"")</f>
        <v>13455.900327515697</v>
      </c>
      <c r="M13" s="26">
        <f>IF($D13=D12+12,VLOOKUP($D13,'Base dinâmica'!$A$8:$O$367,15,0),"")</f>
        <v>869605.13979843003</v>
      </c>
      <c r="O13" s="22"/>
    </row>
    <row r="14" spans="1:16" x14ac:dyDescent="0.25">
      <c r="D14" s="25">
        <f t="shared" si="0"/>
        <v>96</v>
      </c>
      <c r="E14" s="26">
        <f>(IF($B$24="PRICE",'Price x SAC x SACRE'!B102,IF($B$24="sac",'Price x SAC x SACRE'!G102,IF($B$24="sacre",'Price x SAC x SACRE'!L102,""))))*-1</f>
        <v>-4100.918274350438</v>
      </c>
      <c r="F14" s="26">
        <f>IF($B$24="PRICE",'Price x SAC x SACRE'!C102,IF($B$24="sac",'Price x SAC x SACRE'!H102,IF($B$24="sacre",'Price x SAC x SACRE'!M102,"")))</f>
        <v>335.72456041490773</v>
      </c>
      <c r="G14" s="26">
        <f>IF($B$24="PRICE",'Price x SAC x SACRE'!D102,IF($B$24="sac",'Price x SAC x SACRE'!I102,IF($B$24="sacre",'Price x SAC x SACRE'!N102,"")))</f>
        <v>3765.19371393553</v>
      </c>
      <c r="H14" s="26">
        <f>(IF($B$24="PRICE",'Price x SAC x SACRE'!E102,IF($B$24="sac",'Price x SAC x SACRE'!J102,IF($B$24="sacre",'Price x SAC x SACRE'!O102,""))))*-1</f>
        <v>-396468.56233816722</v>
      </c>
      <c r="I14" s="26">
        <f>IF($D14=D13+12,VLOOKUP($D14,'Base dinâmica'!$A$8:$O$367,6,0),"")</f>
        <v>14695.756814221966</v>
      </c>
      <c r="J14" s="26">
        <f>IF($D14=+D13+12,VLOOKUP($D14,'Base dinâmica'!$A$8:$O$367,7,0),"")</f>
        <v>-567.06147033047228</v>
      </c>
      <c r="K14" s="26">
        <f>IF($D14=D13+12,VLOOKUP($D14,'Base dinâmica'!$A$8:$O$367,8,0),"")</f>
        <v>0</v>
      </c>
      <c r="L14" s="26">
        <f>IF($D14=D13+12,VLOOKUP($D14,'Base dinâmica'!$A$8:$O$367,9,0),"")</f>
        <v>14128.695343891493</v>
      </c>
      <c r="M14" s="26">
        <f>IF($D14=D13+12,VLOOKUP($D14,'Base dinâmica'!$A$8:$O$367,15,0),"")</f>
        <v>1085689.8516031411</v>
      </c>
      <c r="O14" s="22"/>
    </row>
    <row r="15" spans="1:16" ht="15.75" thickBot="1" x14ac:dyDescent="0.3">
      <c r="A15" s="171" t="s">
        <v>67</v>
      </c>
      <c r="B15" s="172"/>
      <c r="D15" s="25">
        <f t="shared" si="0"/>
        <v>108</v>
      </c>
      <c r="E15" s="26">
        <f>(IF($B$24="PRICE",'Price x SAC x SACRE'!B114,IF($B$24="sac",'Price x SAC x SACRE'!G114,IF($B$24="sacre",'Price x SAC x SACRE'!L114,""))))*-1</f>
        <v>-4100.918274350438</v>
      </c>
      <c r="F15" s="26">
        <f>IF($B$24="PRICE",'Price x SAC x SACRE'!C114,IF($B$24="sac",'Price x SAC x SACRE'!H114,IF($B$24="sacre",'Price x SAC x SACRE'!M114,"")))</f>
        <v>376.01150766469686</v>
      </c>
      <c r="G15" s="26">
        <f>IF($B$24="PRICE",'Price x SAC x SACRE'!D114,IF($B$24="sac",'Price x SAC x SACRE'!I114,IF($B$24="sacre",'Price x SAC x SACRE'!N114,"")))</f>
        <v>3724.9067666857413</v>
      </c>
      <c r="H15" s="26">
        <f>(IF($B$24="PRICE",'Price x SAC x SACRE'!E114,IF($B$24="sac",'Price x SAC x SACRE'!J114,IF($B$24="sacre",'Price x SAC x SACRE'!O114,""))))*-1</f>
        <v>-392182.53543984756</v>
      </c>
      <c r="I15" s="26">
        <f>IF($D15=D14+12,VLOOKUP($D15,'Base dinâmica'!$A$8:$O$367,6,0),"")</f>
        <v>15430.544654933077</v>
      </c>
      <c r="J15" s="26">
        <f>IF($D15=+D14+12,VLOOKUP($D15,'Base dinâmica'!$A$8:$O$367,7,0),"")</f>
        <v>-595.41454384699637</v>
      </c>
      <c r="K15" s="26">
        <f>IF($D15=D14+12,VLOOKUP($D15,'Base dinâmica'!$A$8:$O$367,8,0),"")</f>
        <v>0</v>
      </c>
      <c r="L15" s="26">
        <f>IF($D15=D14+12,VLOOKUP($D15,'Base dinâmica'!$A$8:$O$367,9,0),"")</f>
        <v>14835.13011108608</v>
      </c>
      <c r="M15" s="26">
        <f>IF($D15=D14+12,VLOOKUP($D15,'Base dinâmica'!$A$8:$O$367,15,0),"")</f>
        <v>1333713.327624412</v>
      </c>
      <c r="O15" s="22"/>
    </row>
    <row r="16" spans="1:16" ht="15.75" thickTop="1" x14ac:dyDescent="0.25">
      <c r="A16" s="33" t="s">
        <v>64</v>
      </c>
      <c r="B16" s="51">
        <v>5.0000000000000001E-3</v>
      </c>
      <c r="D16" s="25">
        <f t="shared" si="0"/>
        <v>120</v>
      </c>
      <c r="E16" s="26">
        <f>(IF($B$24="PRICE",'Price x SAC x SACRE'!B126,IF($B$24="sac",'Price x SAC x SACRE'!G126,IF($B$24="sacre",'Price x SAC x SACRE'!L126,""))))*-1</f>
        <v>-4100.9182743504389</v>
      </c>
      <c r="F16" s="26">
        <f>IF($B$24="PRICE",'Price x SAC x SACRE'!C126,IF($B$24="sac",'Price x SAC x SACRE'!H126,IF($B$24="sacre",'Price x SAC x SACRE'!M126,"")))</f>
        <v>421.13288858446089</v>
      </c>
      <c r="G16" s="26">
        <f>IF($B$24="PRICE",'Price x SAC x SACRE'!D126,IF($B$24="sac",'Price x SAC x SACRE'!I126,IF($B$24="sacre",'Price x SAC x SACRE'!N126,"")))</f>
        <v>3679.7853857659779</v>
      </c>
      <c r="H16" s="26">
        <f>(IF($B$24="PRICE",'Price x SAC x SACRE'!E126,IF($B$24="sac",'Price x SAC x SACRE'!J126,IF($B$24="sacre",'Price x SAC x SACRE'!O126,""))))*-1</f>
        <v>-387382.18531372957</v>
      </c>
      <c r="I16" s="26">
        <f>IF($D16=D15+12,VLOOKUP($D16,'Base dinâmica'!$A$8:$O$367,6,0),"")</f>
        <v>16202.071887679745</v>
      </c>
      <c r="J16" s="26">
        <f>IF($D16=+D15+12,VLOOKUP($D16,'Base dinâmica'!$A$8:$O$367,7,0),"")</f>
        <v>-625.18527103934673</v>
      </c>
      <c r="K16" s="26">
        <f>IF($D16=D15+12,VLOOKUP($D16,'Base dinâmica'!$A$8:$O$367,8,0),"")</f>
        <v>0</v>
      </c>
      <c r="L16" s="26">
        <f>IF($D16=D15+12,VLOOKUP($D16,'Base dinâmica'!$A$8:$O$367,9,0),"")</f>
        <v>15576.886616640399</v>
      </c>
      <c r="M16" s="26">
        <f>IF($D16=D15+12,VLOOKUP($D16,'Base dinâmica'!$A$8:$O$367,15,0),"")</f>
        <v>1617544.4679003987</v>
      </c>
      <c r="O16" s="22"/>
    </row>
    <row r="17" spans="1:15" x14ac:dyDescent="0.25">
      <c r="A17" s="29" t="str">
        <f>IF(B17=100%,"Pagamento à vista","Pagto do Ato")</f>
        <v>Pagto do Ato</v>
      </c>
      <c r="B17" s="52">
        <v>0.2</v>
      </c>
      <c r="D17" s="25">
        <f t="shared" si="0"/>
        <v>132</v>
      </c>
      <c r="E17" s="26">
        <f>IF(D17="","",IF($B$24="PRICE",'Price x SAC x SACRE'!B138,IF($B$24="sac",'Price x SAC x SACRE'!G138,IF($B$24="sacre",'Price x SAC x SACRE'!L138,"")))*-1)</f>
        <v>-4100.9182743504389</v>
      </c>
      <c r="F17" s="26">
        <f>IF(D17="","",IF($B$24="PRICE",'Price x SAC x SACRE'!C138,IF($B$24="sac",'Price x SAC x SACRE'!H138,IF($B$24="sacre",'Price x SAC x SACRE'!M138,""))))</f>
        <v>471.66883521459664</v>
      </c>
      <c r="G17" s="26">
        <f>IF(D17="","",IF($B$24="PRICE",'Price x SAC x SACRE'!D138,IF($B$24="sac",'Price x SAC x SACRE'!I138,IF($B$24="sacre",'Price x SAC x SACRE'!N138,""))))</f>
        <v>3629.2494391358423</v>
      </c>
      <c r="H17" s="26">
        <f>IF(D17="","",(IF($B$24="PRICE",'Price x SAC x SACRE'!E138,IF($B$24="sac",'Price x SAC x SACRE'!J138,IF($B$24="sacre",'Price x SAC x SACRE'!O138,""))))*-1)</f>
        <v>-382005.79317247734</v>
      </c>
      <c r="I17" s="26">
        <f>IF($D17=D16+12,VLOOKUP($D17,'Base dinâmica'!$A$8:$O$367,6,0),"")</f>
        <v>17012.175482063747</v>
      </c>
      <c r="J17" s="26">
        <f>IF($D17=+D16+12,VLOOKUP($D17,'Base dinâmica'!$A$8:$O$367,7,0),"")</f>
        <v>-656.44453459131466</v>
      </c>
      <c r="K17" s="26">
        <f>IF($D17=D16+12,VLOOKUP($D17,'Base dinâmica'!$A$8:$O$367,8,0),"")</f>
        <v>0</v>
      </c>
      <c r="L17" s="26">
        <f>IF($D17=D16+12,VLOOKUP($D17,'Base dinâmica'!$A$8:$O$367,9,0),"")</f>
        <v>16355.730947472432</v>
      </c>
      <c r="M17" s="26">
        <f>IF($D17=D16+12,VLOOKUP($D17,'Base dinâmica'!$A$8:$O$367,15,0),"")</f>
        <v>1941489.853367605</v>
      </c>
      <c r="O17" s="22"/>
    </row>
    <row r="18" spans="1:15" x14ac:dyDescent="0.25">
      <c r="A18" s="29" t="s">
        <v>16</v>
      </c>
      <c r="B18" s="52"/>
      <c r="D18" s="25">
        <f t="shared" si="0"/>
        <v>144</v>
      </c>
      <c r="E18" s="26">
        <f>IF(D18="","",(IF($B$24="PRICE",'Price x SAC x SACRE'!B150,IF($B$24="sac",'Price x SAC x SACRE'!G150,IF($B$24="sacre",'Price x SAC x SACRE'!L150,""))))*-1)</f>
        <v>-4100.9182743504389</v>
      </c>
      <c r="F18" s="26">
        <f>IF(D18="","",(IF($B$24="PRICE",'Price x SAC x SACRE'!C150,IF($B$24="sac",'Price x SAC x SACRE'!H150,IF($B$24="sacre",'Price x SAC x SACRE'!M150,"")))))</f>
        <v>528.26909544034879</v>
      </c>
      <c r="G18" s="26">
        <f>IF(D18="","",(IF($B$24="PRICE",'Price x SAC x SACRE'!D150,IF($B$24="sac",'Price x SAC x SACRE'!I150,IF($B$24="sacre",'Price x SAC x SACRE'!N150,"")))))</f>
        <v>3572.6491789100905</v>
      </c>
      <c r="H18" s="26">
        <f>IF(D18="","",((IF($B$24="PRICE",'Price x SAC x SACRE'!E150,IF($B$24="sac",'Price x SAC x SACRE'!J150,IF($B$24="sacre",'Price x SAC x SACRE'!O150,""))))*-1))</f>
        <v>-375984.23397427483</v>
      </c>
      <c r="I18" s="26">
        <f>IF(D18="","",IF(D18="","",IF($D18=D17+12,VLOOKUP($D18,'Base dinâmica'!$A$8:$O$367,6,0),"")))</f>
        <v>17862.784256166949</v>
      </c>
      <c r="J18" s="26">
        <f>IF(D18="","",IF(D18="","",IF($D18=+D17+12,VLOOKUP($D18,'Base dinâmica'!$A$8:$O$367,7,0),"")))</f>
        <v>-689.26676132088096</v>
      </c>
      <c r="K18" s="26">
        <f>IF(D18="","",IF(D18="","",IF($D18=D17+12,VLOOKUP($D18,'Base dinâmica'!$A$8:$O$367,8,0),"")))</f>
        <v>0</v>
      </c>
      <c r="L18" s="26">
        <f>IF($D18=D17+12,VLOOKUP($D18,'Base dinâmica'!$A$8:$O$367,9,0),"")</f>
        <v>17173.51749484607</v>
      </c>
      <c r="M18" s="26">
        <f>IF($D18=D17+12,VLOOKUP($D18,'Base dinâmica'!$A$8:$O$367,15,0),"")</f>
        <v>2310341.8852646649</v>
      </c>
      <c r="O18" s="22"/>
    </row>
    <row r="19" spans="1:15" x14ac:dyDescent="0.25">
      <c r="A19" s="29" t="s">
        <v>14</v>
      </c>
      <c r="B19" s="52"/>
      <c r="D19" s="25">
        <f t="shared" si="0"/>
        <v>156</v>
      </c>
      <c r="E19" s="26">
        <f>IF(D19="","",((IF($B$24="PRICE",'Price x SAC x SACRE'!B162,IF($B$24="sac",'Price x SAC x SACRE'!G162,IF($B$24="sacre",'Price x SAC x SACRE'!L162,""))))*-1))</f>
        <v>-4100.9182743504398</v>
      </c>
      <c r="F19" s="26">
        <f>IF(D19="","",(IF($B$24="PRICE",'Price x SAC x SACRE'!C162,IF($B$24="sac",'Price x SAC x SACRE'!H162,IF($B$24="sacre",'Price x SAC x SACRE'!M162,"")))))</f>
        <v>591.66138689319109</v>
      </c>
      <c r="G19" s="26">
        <f>IF(D19="","",(IF($B$24="PRICE",'Price x SAC x SACRE'!D162,IF($B$24="sac",'Price x SAC x SACRE'!I162,IF($B$24="sacre",'Price x SAC x SACRE'!N162,"")))))</f>
        <v>3509.2568874572489</v>
      </c>
      <c r="H19" s="26">
        <f>IF(D19="","",(IF($B$24="PRICE",'Price x SAC x SACRE'!E162,IF($B$24="sac",'Price x SAC x SACRE'!J162,IF($B$24="sacre",'Price x SAC x SACRE'!O162,""))))*-1)</f>
        <v>-369240.08767228806</v>
      </c>
      <c r="I19" s="26">
        <f>IF(D19="","",IF($D19=D18+12,VLOOKUP($D19,'Base dinâmica'!$A$8:$O$367,6,0),""))</f>
        <v>18755.923468975314</v>
      </c>
      <c r="J19" s="26">
        <f>IF(D19="","",IF($D19=+D18+12,VLOOKUP($D19,'Base dinâmica'!$A$8:$O$367,7,0),""))</f>
        <v>-723.73009938692564</v>
      </c>
      <c r="K19" s="26">
        <f>IF(D19="","",IF($D19=D18+12,VLOOKUP($D19,'Base dinâmica'!$A$8:$O$367,8,0),""))</f>
        <v>0</v>
      </c>
      <c r="L19" s="26">
        <f>IF($D19=D18+12,VLOOKUP($D19,'Base dinâmica'!$A$8:$O$367,9,0),"")</f>
        <v>18032.193369588389</v>
      </c>
      <c r="M19" s="26">
        <f>IF($D19=D18+12,VLOOKUP($D19,'Base dinâmica'!$A$8:$O$367,15,0),"")</f>
        <v>2729432.153957393</v>
      </c>
      <c r="O19" s="22"/>
    </row>
    <row r="20" spans="1:15" x14ac:dyDescent="0.25">
      <c r="A20" s="29" t="s">
        <v>17</v>
      </c>
      <c r="B20" s="52"/>
      <c r="D20" s="25">
        <f t="shared" si="0"/>
        <v>168</v>
      </c>
      <c r="E20" s="26">
        <f>IF(D20="","",((IF($B$24="PRICE",'Price x SAC x SACRE'!B174,IF($B$24="sac",'Price x SAC x SACRE'!G174,IF($B$24="sacre",'Price x SAC x SACRE'!L174,""))))*-1))</f>
        <v>-4100.9182743504407</v>
      </c>
      <c r="F20" s="26">
        <f>IF(D20="","",IF($B$24="PRICE",'Price x SAC x SACRE'!C174,IF($B$24="sac",'Price x SAC x SACRE'!H174,IF($B$24="sacre",'Price x SAC x SACRE'!M174,""))))</f>
        <v>662.66075332037462</v>
      </c>
      <c r="G20" s="26">
        <f>IF(D20="","",IF($B$24="PRICE",'Price x SAC x SACRE'!D174,IF($B$24="sac",'Price x SAC x SACRE'!I174,IF($B$24="sacre",'Price x SAC x SACRE'!N174,""))))</f>
        <v>3438.2575210300656</v>
      </c>
      <c r="H20" s="26">
        <f>IF(D20="","",(IF($B$24="PRICE",'Price x SAC x SACRE'!E174,IF($B$24="sac",'Price x SAC x SACRE'!J174,IF($B$24="sacre",'Price x SAC x SACRE'!O174,""))))*-1)</f>
        <v>-361686.64381406282</v>
      </c>
      <c r="I20" s="26">
        <f>IF(D20="","",IF($D20=D19+12,VLOOKUP($D20,'Base dinâmica'!$A$8:$O$367,6,0),""))</f>
        <v>19693.719642424097</v>
      </c>
      <c r="J20" s="26">
        <f>IF(D20="","",IF($D20=+D19+12,VLOOKUP($D20,'Base dinâmica'!$A$8:$O$367,7,0),""))</f>
        <v>-759.91660435627261</v>
      </c>
      <c r="K20" s="26">
        <f>IF(D20="","",IF($D20=D19+12,VLOOKUP($D20,'Base dinâmica'!$A$8:$O$367,8,0),""))</f>
        <v>0</v>
      </c>
      <c r="L20" s="26">
        <f>IF($D20=D19+12,VLOOKUP($D20,'Base dinâmica'!$A$8:$O$367,9,0),"")</f>
        <v>18933.803038067825</v>
      </c>
      <c r="M20" s="26">
        <f>IF($D20=D19+12,VLOOKUP($D20,'Base dinâmica'!$A$8:$O$367,15,0),"")</f>
        <v>3204690.602069661</v>
      </c>
      <c r="O20" s="22"/>
    </row>
    <row r="21" spans="1:15" x14ac:dyDescent="0.25">
      <c r="A21" s="30"/>
      <c r="B21" s="34">
        <f>SUM(B17:B20)</f>
        <v>0.2</v>
      </c>
      <c r="D21" s="25">
        <f t="shared" si="0"/>
        <v>180</v>
      </c>
      <c r="E21" s="26">
        <f>IF(D21="","",(IF($B$24="PRICE",'Price x SAC x SACRE'!B186,IF($B$24="sac",'Price x SAC x SACRE'!G186,IF($B$24="sacre",'Price x SAC x SACRE'!L186,""))))*-1)</f>
        <v>-4100.9182743504398</v>
      </c>
      <c r="F21" s="26">
        <f>IF(D21="","",IF($B$24="PRICE",'Price x SAC x SACRE'!C186,IF($B$24="sac",'Price x SAC x SACRE'!H186,IF($B$24="sacre",'Price x SAC x SACRE'!M186,""))))</f>
        <v>742.18004371882012</v>
      </c>
      <c r="G21" s="26">
        <f>IF(D21="","",IF($B$24="PRICE",'Price x SAC x SACRE'!D186,IF($B$24="sac",'Price x SAC x SACRE'!I186,IF($B$24="sacre",'Price x SAC x SACRE'!N186,""))))</f>
        <v>3358.7382306316199</v>
      </c>
      <c r="H21" s="26">
        <f>IF(D21="","",(IF($B$24="PRICE",'Price x SAC x SACRE'!E186,IF($B$24="sac",'Price x SAC x SACRE'!J186,IF($B$24="sacre",'Price x SAC x SACRE'!O186,""))))*-1)</f>
        <v>-353226.78669285047</v>
      </c>
      <c r="I21" s="26">
        <f>IF(D21="","",IF($D21=D20+12,VLOOKUP($D21,'Base dinâmica'!$A$8:$O$367,6,0),""))</f>
        <v>20678.405624545321</v>
      </c>
      <c r="J21" s="26">
        <f>IF(D21="","",IF($D21=+D20+12,VLOOKUP($D21,'Base dinâmica'!$A$8:$O$367,7,0),""))</f>
        <v>-797.912434574087</v>
      </c>
      <c r="K21" s="26">
        <f>IF(D21="","",IF($D21=D20+12,VLOOKUP($D21,'Base dinâmica'!$A$8:$O$367,8,0),""))</f>
        <v>0</v>
      </c>
      <c r="L21" s="26">
        <f>IF($D21=D20+12,VLOOKUP($D21,'Base dinâmica'!$A$8:$O$367,9,0),"")</f>
        <v>19880.493189971236</v>
      </c>
      <c r="M21" s="26">
        <f>IF($D21=D20+12,VLOOKUP($D21,'Base dinâmica'!$A$8:$O$367,15,0),"")</f>
        <v>3742711.1076658256</v>
      </c>
      <c r="O21" s="22"/>
    </row>
    <row r="22" spans="1:15" x14ac:dyDescent="0.25">
      <c r="D22" s="25">
        <f t="shared" si="0"/>
        <v>192</v>
      </c>
      <c r="E22" s="26">
        <f>IF(D22="","",(IF($B$24="PRICE",'Price x SAC x SACRE'!B198,IF($B$24="sac",'Price x SAC x SACRE'!G198,IF($B$24="sacre",'Price x SAC x SACRE'!L198,""))))*-1)</f>
        <v>-4100.9182743504407</v>
      </c>
      <c r="F22" s="26">
        <f>IF(D22="","",IF($B$24="PRICE",'Price x SAC x SACRE'!C198,IF($B$24="sac",'Price x SAC x SACRE'!H198,IF($B$24="sacre",'Price x SAC x SACRE'!M198,""))))</f>
        <v>831.24164896507932</v>
      </c>
      <c r="G22" s="26">
        <f>IF(D22="","",IF($B$24="PRICE",'Price x SAC x SACRE'!D198,IF($B$24="sac",'Price x SAC x SACRE'!I198,IF($B$24="sacre",'Price x SAC x SACRE'!N198,""))))</f>
        <v>3269.6766253853611</v>
      </c>
      <c r="H22" s="26">
        <f>IF(D22="","",(IF($B$24="PRICE",'Price x SAC x SACRE'!E198,IF($B$24="sac",'Price x SAC x SACRE'!J198,IF($B$24="sacre",'Price x SAC x SACRE'!O198,""))))*-1)</f>
        <v>-343751.7467170927</v>
      </c>
      <c r="I22" s="26">
        <f>IF(D22="","",IF($D22=D21+12,VLOOKUP($D22,'Base dinâmica'!$A$8:$O$367,6,0),""))</f>
        <v>21712.325905772606</v>
      </c>
      <c r="J22" s="26">
        <f>IF(D22="","",IF($D22=+D21+12,VLOOKUP($D22,'Base dinâmica'!$A$8:$O$367,7,0),""))</f>
        <v>-837.80805630279212</v>
      </c>
      <c r="K22" s="26">
        <f>IF(D22="","",IF($D22=D21+12,VLOOKUP($D22,'Base dinâmica'!$A$8:$O$367,8,0),""))</f>
        <v>0</v>
      </c>
      <c r="L22" s="26">
        <f>IF($D22=D21+12,VLOOKUP($D22,'Base dinâmica'!$A$8:$O$367,9,0),"")</f>
        <v>20874.517849469816</v>
      </c>
      <c r="M22" s="26">
        <f>IF($D22=D21+12,VLOOKUP($D22,'Base dinâmica'!$A$8:$O$367,15,0),"")</f>
        <v>4350824.1806409936</v>
      </c>
      <c r="O22" s="22"/>
    </row>
    <row r="23" spans="1:15" ht="15.75" thickBot="1" x14ac:dyDescent="0.3">
      <c r="A23" s="176" t="s">
        <v>68</v>
      </c>
      <c r="B23" s="177"/>
      <c r="D23" s="25">
        <f t="shared" si="0"/>
        <v>204</v>
      </c>
      <c r="E23" s="26">
        <f>IF(D23="","",(IF($B$24="PRICE",'Price x SAC x SACRE'!B210,IF($B$24="sac",'Price x SAC x SACRE'!G210,IF($B$24="sacre",'Price x SAC x SACRE'!L210,""))))*-1)</f>
        <v>-4100.9182743504398</v>
      </c>
      <c r="F23" s="26">
        <f>IF(D23="","",IF($B$24="PRICE",'Price x SAC x SACRE'!C210,IF($B$24="sac",'Price x SAC x SACRE'!H210,IF($B$24="sacre",'Price x SAC x SACRE'!M210,""))))</f>
        <v>930.99064684088967</v>
      </c>
      <c r="G23" s="26">
        <f>IF(D23="","",IF($B$24="PRICE",'Price x SAC x SACRE'!D210,IF($B$24="sac",'Price x SAC x SACRE'!I210,IF($B$24="sacre",'Price x SAC x SACRE'!N210,""))))</f>
        <v>3169.9276275095503</v>
      </c>
      <c r="H23" s="26">
        <f>IF(D23="","",(IF($B$24="PRICE",'Price x SAC x SACRE'!E210,IF($B$24="sac",'Price x SAC x SACRE'!J210,IF($B$24="sacre",'Price x SAC x SACRE'!O210,""))))*-1)</f>
        <v>-333139.70194424392</v>
      </c>
      <c r="I23" s="26">
        <f>IF(D23="","",IF($D23=D22+12,VLOOKUP($D23,'Base dinâmica'!$A$8:$O$367,6,0),""))</f>
        <v>22797.942201061258</v>
      </c>
      <c r="J23" s="26">
        <f>IF(D23="","",IF($D23=+D22+12,VLOOKUP($D23,'Base dinâmica'!$A$8:$O$367,7,0),""))</f>
        <v>-879.69845911793254</v>
      </c>
      <c r="K23" s="26">
        <f>IF(D23="","",IF($D23=D22+12,VLOOKUP($D23,'Base dinâmica'!$A$8:$O$367,8,0),""))</f>
        <v>0</v>
      </c>
      <c r="L23" s="26">
        <f>IF($D23=D22+12,VLOOKUP($D23,'Base dinâmica'!$A$8:$O$367,9,0),"")</f>
        <v>21918.243741943326</v>
      </c>
      <c r="M23" s="26">
        <f>IF($D23=D22+12,VLOOKUP($D23,'Base dinâmica'!$A$8:$O$367,15,0),"")</f>
        <v>5037177.5401397767</v>
      </c>
    </row>
    <row r="24" spans="1:15" ht="15.75" thickTop="1" x14ac:dyDescent="0.25">
      <c r="A24" s="31" t="s">
        <v>52</v>
      </c>
      <c r="B24" s="49" t="s">
        <v>80</v>
      </c>
      <c r="D24" s="25">
        <f t="shared" si="0"/>
        <v>216</v>
      </c>
      <c r="E24" s="26">
        <f>IF(D24="","",(IF($B$24="PRICE",'Price x SAC x SACRE'!B222,IF($B$24="sac",'Price x SAC x SACRE'!G222,IF($B$24="sacre",'Price x SAC x SACRE'!L222,""))))*-1)</f>
        <v>-4100.9182743504398</v>
      </c>
      <c r="F24" s="26">
        <f>IF(D24="","",IF($B$24="PRICE",'Price x SAC x SACRE'!C222,IF($B$24="sac",'Price x SAC x SACRE'!H222,IF($B$24="sacre",'Price x SAC x SACRE'!M222,""))))</f>
        <v>1042.7095244617974</v>
      </c>
      <c r="G24" s="26">
        <f>IF(D24="","",IF($B$24="PRICE",'Price x SAC x SACRE'!D222,IF($B$24="sac",'Price x SAC x SACRE'!I222,IF($B$24="sacre",'Price x SAC x SACRE'!N222,""))))</f>
        <v>3058.2087498886426</v>
      </c>
      <c r="H24" s="26">
        <f>IF(D24="","",(IF($B$24="PRICE",'Price x SAC x SACRE'!E222,IF($B$24="sac",'Price x SAC x SACRE'!J222,IF($B$24="sacre",'Price x SAC x SACRE'!O222,""))))*-1)</f>
        <v>-321254.2117986533</v>
      </c>
      <c r="I24" s="26">
        <f>IF(D24="","",IF($D24=D23+12,VLOOKUP($D24,'Base dinâmica'!$A$8:$O$367,6,0),""))</f>
        <v>23937.839311114341</v>
      </c>
      <c r="J24" s="26">
        <f>IF(D24="","",IF($D24=+D23+12,VLOOKUP($D24,'Base dinâmica'!$A$8:$O$367,7,0),""))</f>
        <v>-923.68338207382999</v>
      </c>
      <c r="K24" s="26">
        <f>IF(D24="","",IF($D24=D23+12,VLOOKUP($D24,'Base dinâmica'!$A$8:$O$367,8,0),""))</f>
        <v>0</v>
      </c>
      <c r="L24" s="26">
        <f>IF($D24=D23+12,VLOOKUP($D24,'Base dinâmica'!$A$8:$O$367,9,0),"")</f>
        <v>23014.155929040513</v>
      </c>
      <c r="M24" s="26">
        <f>IF($D24=D23+12,VLOOKUP($D24,'Base dinâmica'!$A$8:$O$367,15,0),"")</f>
        <v>5810825.4235224091</v>
      </c>
    </row>
    <row r="25" spans="1:15" x14ac:dyDescent="0.25">
      <c r="A25" s="29" t="s">
        <v>27</v>
      </c>
      <c r="B25" s="50">
        <v>0.12</v>
      </c>
      <c r="D25" s="25">
        <f t="shared" si="0"/>
        <v>228</v>
      </c>
      <c r="E25" s="26">
        <f>IF(D25="","",(IF($B$24="PRICE",'Price x SAC x SACRE'!B234,IF($B$24="sac",'Price x SAC x SACRE'!G234,IF($B$24="sacre",'Price x SAC x SACRE'!L234,""))))*-1)</f>
        <v>-4100.9182743504389</v>
      </c>
      <c r="F25" s="26">
        <f>IF(D25="","",IF($B$24="PRICE",'Price x SAC x SACRE'!C234,IF($B$24="sac",'Price x SAC x SACRE'!H234,IF($B$24="sacre",'Price x SAC x SACRE'!M234,""))))</f>
        <v>1167.8346673972139</v>
      </c>
      <c r="G25" s="26">
        <f>IF(D25="","",IF($B$24="PRICE",'Price x SAC x SACRE'!D234,IF($B$24="sac",'Price x SAC x SACRE'!I234,IF($B$24="sacre",'Price x SAC x SACRE'!N234,""))))</f>
        <v>2933.0836069532252</v>
      </c>
      <c r="H25" s="26">
        <f>IF(D25="","",(IF($B$24="PRICE",'Price x SAC x SACRE'!E234,IF($B$24="sac",'Price x SAC x SACRE'!J234,IF($B$24="sacre",'Price x SAC x SACRE'!O234,""))))*-1)</f>
        <v>-307942.46283559181</v>
      </c>
      <c r="I25" s="26">
        <f>IF(D25="","",IF($D25=D24+12,VLOOKUP($D25,'Base dinâmica'!$A$8:$O$367,6,0),""))</f>
        <v>25134.731276670082</v>
      </c>
      <c r="J25" s="26">
        <f>IF(D25="","",IF($D25=+D24+12,VLOOKUP($D25,'Base dinâmica'!$A$8:$O$367,7,0),""))</f>
        <v>-969.86755117752239</v>
      </c>
      <c r="K25" s="26">
        <f>IF(D25="","",IF($D25=D24+12,VLOOKUP($D25,'Base dinâmica'!$A$8:$O$367,8,0),""))</f>
        <v>0</v>
      </c>
      <c r="L25" s="26">
        <f>IF($D25=D24+12,VLOOKUP($D25,'Base dinâmica'!$A$8:$O$367,9,0),"")</f>
        <v>24164.86372549256</v>
      </c>
      <c r="M25" s="26">
        <f>IF($D25=D24+12,VLOOKUP($D25,'Base dinâmica'!$A$8:$O$367,15,0),"")</f>
        <v>6681827.5689932844</v>
      </c>
    </row>
    <row r="26" spans="1:15" x14ac:dyDescent="0.25">
      <c r="A26" s="29" t="s">
        <v>26</v>
      </c>
      <c r="B26" s="32">
        <f>((B25+1)^(1/12))-1</f>
        <v>9.4887929345830457E-3</v>
      </c>
      <c r="D26" s="25">
        <f t="shared" si="0"/>
        <v>240</v>
      </c>
      <c r="E26" s="26">
        <f>IF(D26="","",(IF($B$24="PRICE",'Price x SAC x SACRE'!B246,IF($B$24="sac",'Price x SAC x SACRE'!G246,IF($B$24="sacre",'Price x SAC x SACRE'!L246,""))))*-1)</f>
        <v>-4100.9182743504389</v>
      </c>
      <c r="F26" s="26">
        <f>IF(D26="","",IF($B$24="PRICE",'Price x SAC x SACRE'!C246,IF($B$24="sac",'Price x SAC x SACRE'!H246,IF($B$24="sacre",'Price x SAC x SACRE'!M246,""))))</f>
        <v>1307.9748274848807</v>
      </c>
      <c r="G26" s="26">
        <f>IF(D26="","",IF($B$24="PRICE",'Price x SAC x SACRE'!D246,IF($B$24="sac",'Price x SAC x SACRE'!I246,IF($B$24="sacre",'Price x SAC x SACRE'!N246,""))))</f>
        <v>2792.9434468655586</v>
      </c>
      <c r="H26" s="26">
        <f>IF(D26="","",(IF($B$24="PRICE",'Price x SAC x SACRE'!E246,IF($B$24="sac",'Price x SAC x SACRE'!J246,IF($B$24="sacre",'Price x SAC x SACRE'!O246,""))))*-1)</f>
        <v>-293033.30399696296</v>
      </c>
      <c r="I26" s="26">
        <f>IF(D26="","",IF($D26=D25+12,VLOOKUP($D26,'Base dinâmica'!$A$8:$O$367,6,0),""))</f>
        <v>27711.041232528805</v>
      </c>
      <c r="J26" s="26">
        <f>IF(D26="","",IF($D26=+D25+12,VLOOKUP($D26,'Base dinâmica'!$A$8:$O$367,7,0),""))</f>
        <v>-1069.27897517322</v>
      </c>
      <c r="K26" s="26">
        <f>IF(D26="","",IF($D26=D25+12,VLOOKUP($D26,'Base dinâmica'!$A$8:$O$367,8,0),""))</f>
        <v>0</v>
      </c>
      <c r="L26" s="26">
        <f>IF($D26=D25+12,VLOOKUP($D26,'Base dinâmica'!$A$8:$O$367,9,0),"")</f>
        <v>26641.762257355585</v>
      </c>
      <c r="M26" s="26">
        <f>IF($D26=D25+12,VLOOKUP($D26,'Base dinâmica'!$A$8:$O$367,15,0),"")</f>
        <v>7677000.2093317593</v>
      </c>
    </row>
    <row r="27" spans="1:15" x14ac:dyDescent="0.25">
      <c r="A27" s="30" t="s">
        <v>30</v>
      </c>
      <c r="B27" s="189">
        <v>360</v>
      </c>
      <c r="D27" s="25">
        <f t="shared" si="0"/>
        <v>252</v>
      </c>
      <c r="E27" s="26">
        <f>IF(D27="","",(IF($B$24="PRICE",'Price x SAC x SACRE'!B258,IF($B$24="sac",'Price x SAC x SACRE'!G258,IF($B$24="sacre",'Price x SAC x SACRE'!L258,""))))*-1)</f>
        <v>-4100.9182743504398</v>
      </c>
      <c r="F27" s="26">
        <f>IF(D27="","",IF($B$24="PRICE",'Price x SAC x SACRE'!C258,IF($B$24="sac",'Price x SAC x SACRE'!H258,IF($B$24="sacre",'Price x SAC x SACRE'!M258,""))))</f>
        <v>1464.9318067830679</v>
      </c>
      <c r="G27" s="26">
        <f>IF(D27="","",IF($B$24="PRICE",'Price x SAC x SACRE'!D258,IF($B$24="sac",'Price x SAC x SACRE'!I258,IF($B$24="sacre",'Price x SAC x SACRE'!N258,""))))</f>
        <v>2635.9864675673716</v>
      </c>
      <c r="H27" s="26">
        <f>IF(D27="","",(IF($B$24="PRICE",'Price x SAC x SACRE'!E258,IF($B$24="sac",'Price x SAC x SACRE'!J258,IF($B$24="sacre",'Price x SAC x SACRE'!O258,""))))*-1)</f>
        <v>-276335.04609769856</v>
      </c>
      <c r="I27" s="26">
        <f>IF(D27="","",IF($D27=D26+12,VLOOKUP($D27,'Base dinâmica'!$A$8:$O$367,6,0),""))</f>
        <v>29096.593294155271</v>
      </c>
      <c r="J27" s="26">
        <f>IF(D27="","",IF($D27=+D26+12,VLOOKUP($D27,'Base dinâmica'!$A$8:$O$367,7,0),""))</f>
        <v>-1122.7429239318819</v>
      </c>
      <c r="K27" s="26">
        <f>IF(D27="","",IF($D27=D26+12,VLOOKUP($D27,'Base dinâmica'!$A$8:$O$367,8,0),""))</f>
        <v>0</v>
      </c>
      <c r="L27" s="26">
        <f>IF($D27=D26+12,VLOOKUP($D27,'Base dinâmica'!$A$8:$O$367,9,0),"")</f>
        <v>27973.85037022339</v>
      </c>
      <c r="M27" s="26">
        <f>IF($D27=D26+12,VLOOKUP($D27,'Base dinâmica'!$A$8:$O$367,15,0),"")</f>
        <v>8795577.2670739386</v>
      </c>
    </row>
    <row r="28" spans="1:15" x14ac:dyDescent="0.25">
      <c r="D28" s="25">
        <f t="shared" si="0"/>
        <v>264</v>
      </c>
      <c r="E28" s="26">
        <f>IF(D28="","",(IF($B$24="PRICE",'Price x SAC x SACRE'!B270,IF($B$24="sac",'Price x SAC x SACRE'!G270,IF($B$24="sacre",'Price x SAC x SACRE'!L270,""))))*-1)</f>
        <v>-4100.9182743504389</v>
      </c>
      <c r="F28" s="26">
        <f>IF(D28="","",IF($B$24="PRICE",'Price x SAC x SACRE'!C270,IF($B$24="sac",'Price x SAC x SACRE'!H270,IF($B$24="sacre",'Price x SAC x SACRE'!M270,""))))</f>
        <v>1640.7236235970372</v>
      </c>
      <c r="G28" s="26">
        <f>IF(D28="","",IF($B$24="PRICE",'Price x SAC x SACRE'!D270,IF($B$24="sac",'Price x SAC x SACRE'!I270,IF($B$24="sacre",'Price x SAC x SACRE'!N270,""))))</f>
        <v>2460.1946507534017</v>
      </c>
      <c r="H28" s="26">
        <f>IF(D28="","",(IF($B$24="PRICE",'Price x SAC x SACRE'!E270,IF($B$24="sac",'Price x SAC x SACRE'!J270,IF($B$24="sacre",'Price x SAC x SACRE'!O270,""))))*-1)</f>
        <v>-257632.99725052243</v>
      </c>
      <c r="I28" s="26">
        <f>IF(D28="","",IF($D28=D27+12,VLOOKUP($D28,'Base dinâmica'!$A$8:$O$367,6,0),""))</f>
        <v>30551.422958863062</v>
      </c>
      <c r="J28" s="26">
        <f>IF(D28="","",IF($D28=+D27+12,VLOOKUP($D28,'Base dinâmica'!$A$8:$O$367,7,0),""))</f>
        <v>-1178.880070128477</v>
      </c>
      <c r="K28" s="26">
        <f>IF(D28="","",IF($D28=D27+12,VLOOKUP($D28,'Base dinâmica'!$A$8:$O$367,8,0),""))</f>
        <v>0</v>
      </c>
      <c r="L28" s="26">
        <f>IF($D28=D27+12,VLOOKUP($D28,'Base dinâmica'!$A$8:$O$367,9,0),"")</f>
        <v>29372.542888734584</v>
      </c>
      <c r="M28" s="26">
        <f>IF($D28=D27+12,VLOOKUP($D28,'Base dinâmica'!$A$8:$O$367,15,0),"")</f>
        <v>10051645.885019096</v>
      </c>
    </row>
    <row r="29" spans="1:15" ht="15.75" thickBot="1" x14ac:dyDescent="0.3">
      <c r="A29" s="175" t="s">
        <v>73</v>
      </c>
      <c r="B29" s="172"/>
      <c r="D29" s="25">
        <f t="shared" si="0"/>
        <v>276</v>
      </c>
      <c r="E29" s="26">
        <f>IF(D29="","",(IF($B$24="PRICE",'Price x SAC x SACRE'!B282,IF($B$24="sac",'Price x SAC x SACRE'!G282,IF($B$24="sacre",'Price x SAC x SACRE'!L282,""))))*-1)</f>
        <v>-4100.918274350438</v>
      </c>
      <c r="F29" s="26">
        <f>IF(D29="","",IF($B$24="PRICE",'Price x SAC x SACRE'!C282,IF($B$24="sac",'Price x SAC x SACRE'!H282,IF($B$24="sacre",'Price x SAC x SACRE'!M282,""))))</f>
        <v>1837.6104584286834</v>
      </c>
      <c r="G29" s="26">
        <f>IF(D29="","",IF($B$24="PRICE",'Price x SAC x SACRE'!D282,IF($B$24="sac",'Price x SAC x SACRE'!I282,IF($B$24="sacre",'Price x SAC x SACRE'!N282,""))))</f>
        <v>2263.3078159217548</v>
      </c>
      <c r="H29" s="26">
        <f>IF(D29="","",(IF($B$24="PRICE",'Price x SAC x SACRE'!E282,IF($B$24="sac",'Price x SAC x SACRE'!J282,IF($B$24="sacre",'Price x SAC x SACRE'!O282,""))))*-1)</f>
        <v>-236686.70254168514</v>
      </c>
      <c r="I29" s="26">
        <f>IF(D29="","",IF($D29=D28+12,VLOOKUP($D29,'Base dinâmica'!$A$8:$O$367,6,0),""))</f>
        <v>32078.994106806244</v>
      </c>
      <c r="J29" s="26">
        <f>IF(D29="","",IF($D29=+D28+12,VLOOKUP($D29,'Base dinâmica'!$A$8:$O$367,7,0),""))</f>
        <v>-1237.8240736349019</v>
      </c>
      <c r="K29" s="26">
        <f>IF(D29="","",IF($D29=D28+12,VLOOKUP($D29,'Base dinâmica'!$A$8:$O$367,8,0),""))</f>
        <v>0</v>
      </c>
      <c r="L29" s="26">
        <f>IF($D29=D28+12,VLOOKUP($D29,'Base dinâmica'!$A$8:$O$367,9,0),"")</f>
        <v>30841.17003317134</v>
      </c>
      <c r="M29" s="26">
        <f>IF($D29=D28+12,VLOOKUP($D29,'Base dinâmica'!$A$8:$O$367,15,0),"")</f>
        <v>11460848.632213816</v>
      </c>
    </row>
    <row r="30" spans="1:15" ht="15.75" thickTop="1" x14ac:dyDescent="0.25">
      <c r="A30" s="28" t="s">
        <v>79</v>
      </c>
      <c r="B30" s="44">
        <v>0.02</v>
      </c>
      <c r="D30" s="25">
        <f t="shared" si="0"/>
        <v>288</v>
      </c>
      <c r="E30" s="26">
        <f>IF(D30="","",(IF($B$24="PRICE",'Price x SAC x SACRE'!B294,IF($B$24="sac",'Price x SAC x SACRE'!G294,IF($B$24="sacre",'Price x SAC x SACRE'!L294,""))))*-1)</f>
        <v>-4100.918274350438</v>
      </c>
      <c r="F30" s="26">
        <f>IF(D30="","",IF($B$24="PRICE",'Price x SAC x SACRE'!C294,IF($B$24="sac",'Price x SAC x SACRE'!H294,IF($B$24="sacre",'Price x SAC x SACRE'!M294,""))))</f>
        <v>2058.1237134401272</v>
      </c>
      <c r="G30" s="26">
        <f>IF(D30="","",IF($B$24="PRICE",'Price x SAC x SACRE'!D294,IF($B$24="sac",'Price x SAC x SACRE'!I294,IF($B$24="sacre",'Price x SAC x SACRE'!N294,""))))</f>
        <v>2042.7945609103108</v>
      </c>
      <c r="H30" s="26">
        <f>IF(D30="","",(IF($B$24="PRICE",'Price x SAC x SACRE'!E294,IF($B$24="sac",'Price x SAC x SACRE'!J294,IF($B$24="sacre",'Price x SAC x SACRE'!O294,""))))*-1)</f>
        <v>-213226.85246778739</v>
      </c>
      <c r="I30" s="26">
        <f>IF(D30="","",IF($D30=D29+12,VLOOKUP($D30,'Base dinâmica'!$A$8:$O$367,6,0),""))</f>
        <v>33682.943812146586</v>
      </c>
      <c r="J30" s="26">
        <f>IF(D30="","",IF($D30=+D29+12,VLOOKUP($D30,'Base dinâmica'!$A$8:$O$367,7,0),""))</f>
        <v>-1299.7152773166481</v>
      </c>
      <c r="K30" s="26">
        <f>IF(D30="","",IF($D30=D29+12,VLOOKUP($D30,'Base dinâmica'!$A$8:$O$367,8,0),""))</f>
        <v>0</v>
      </c>
      <c r="L30" s="26">
        <f>IF($D30=D29+12,VLOOKUP($D30,'Base dinâmica'!$A$8:$O$367,9,0),"")</f>
        <v>32383.228534829937</v>
      </c>
      <c r="M30" s="26">
        <f>IF($D30=D29+12,VLOOKUP($D30,'Base dinâmica'!$A$8:$O$367,15,0),"")</f>
        <v>13040552.765193474</v>
      </c>
    </row>
    <row r="31" spans="1:15" x14ac:dyDescent="0.25">
      <c r="A31" s="29" t="s">
        <v>39</v>
      </c>
      <c r="B31" s="166">
        <f>+B11*B30</f>
        <v>10444</v>
      </c>
      <c r="D31" s="25">
        <f t="shared" si="0"/>
        <v>300</v>
      </c>
      <c r="E31" s="26">
        <f>IF(D31="","",(IF($B$24="PRICE",'Price x SAC x SACRE'!B306,IF($B$24="sac",'Price x SAC x SACRE'!G306,IF($B$24="sacre",'Price x SAC x SACRE'!L306,""))))*-1)</f>
        <v>-4100.918274350438</v>
      </c>
      <c r="F31" s="26">
        <f>IF(D31="","",IF($B$24="PRICE",'Price x SAC x SACRE'!C306,IF($B$24="sac",'Price x SAC x SACRE'!H306,IF($B$24="sacre",'Price x SAC x SACRE'!M306,""))))</f>
        <v>2305.0985590529444</v>
      </c>
      <c r="G31" s="26">
        <f>IF(D31="","",IF($B$24="PRICE",'Price x SAC x SACRE'!D306,IF($B$24="sac",'Price x SAC x SACRE'!I306,IF($B$24="sacre",'Price x SAC x SACRE'!N306,""))))</f>
        <v>1795.8197152974938</v>
      </c>
      <c r="H31" s="26">
        <f>IF(D31="","",(IF($B$24="PRICE",'Price x SAC x SACRE'!E306,IF($B$24="sac",'Price x SAC x SACRE'!J306,IF($B$24="sacre",'Price x SAC x SACRE'!O306,""))))*-1)</f>
        <v>-186951.82038502191</v>
      </c>
      <c r="I31" s="26">
        <f>IF(D31="","",IF($D31=D30+12,VLOOKUP($D31,'Base dinâmica'!$A$8:$O$367,6,0),""))</f>
        <v>35367.09100275395</v>
      </c>
      <c r="J31" s="26">
        <f>IF(D31="","",IF($D31=+D30+12,VLOOKUP($D31,'Base dinâmica'!$A$8:$O$367,7,0),""))</f>
        <v>-1364.7010411824817</v>
      </c>
      <c r="K31" s="26">
        <f>IF(D31="","",IF($D31=D30+12,VLOOKUP($D31,'Base dinâmica'!$A$8:$O$367,8,0),""))</f>
        <v>0</v>
      </c>
      <c r="L31" s="26">
        <f>IF($D31=D30+12,VLOOKUP($D31,'Base dinâmica'!$A$8:$O$367,9,0),"")</f>
        <v>34002.389961571469</v>
      </c>
      <c r="M31" s="26">
        <f>IF($D31=D30+12,VLOOKUP($D31,'Base dinâmica'!$A$8:$O$367,15,0),"")</f>
        <v>14810037.787453001</v>
      </c>
    </row>
    <row r="32" spans="1:15" x14ac:dyDescent="0.25">
      <c r="A32" s="29" t="s">
        <v>54</v>
      </c>
      <c r="B32" s="45">
        <v>13</v>
      </c>
      <c r="D32" s="25">
        <f t="shared" si="0"/>
        <v>312</v>
      </c>
      <c r="E32" s="26">
        <f>IF(D32="","",(IF($B$24="PRICE",'Price x SAC x SACRE'!B318,IF($B$24="sac",'Price x SAC x SACRE'!G318,IF($B$24="sacre",'Price x SAC x SACRE'!L318,""))))*-1)</f>
        <v>-4100.9182743504371</v>
      </c>
      <c r="F32" s="26">
        <f>IF(D32="","",IF($B$24="PRICE",'Price x SAC x SACRE'!C318,IF($B$24="sac",'Price x SAC x SACRE'!H318,IF($B$24="sacre",'Price x SAC x SACRE'!M318,""))))</f>
        <v>2581.7103861392998</v>
      </c>
      <c r="G32" s="26">
        <f>IF(D32="","",IF($B$24="PRICE",'Price x SAC x SACRE'!D318,IF($B$24="sac",'Price x SAC x SACRE'!I318,IF($B$24="sacre",'Price x SAC x SACRE'!N318,""))))</f>
        <v>1519.2078882111377</v>
      </c>
      <c r="H32" s="26">
        <f>IF(D32="","",(IF($B$24="PRICE",'Price x SAC x SACRE'!E318,IF($B$24="sac",'Price x SAC x SACRE'!J318,IF($B$24="sacre",'Price x SAC x SACRE'!O318,""))))*-1)</f>
        <v>-157523.7844523245</v>
      </c>
      <c r="I32" s="26">
        <f>IF(D32="","",IF($D32=D31+12,VLOOKUP($D32,'Base dinâmica'!$A$8:$O$367,6,0),""))</f>
        <v>37135.445552891681</v>
      </c>
      <c r="J32" s="26">
        <f>IF(D32="","",IF($D32=+D31+12,VLOOKUP($D32,'Base dinâmica'!$A$8:$O$367,7,0),""))</f>
        <v>-1432.9360932416071</v>
      </c>
      <c r="K32" s="26">
        <f>IF(D32="","",IF($D32=D31+12,VLOOKUP($D32,'Base dinâmica'!$A$8:$O$367,8,0),""))</f>
        <v>0</v>
      </c>
      <c r="L32" s="26">
        <f>IF($D32=D31+12,VLOOKUP($D32,'Base dinâmica'!$A$8:$O$367,9,0),"")</f>
        <v>35702.509459650071</v>
      </c>
      <c r="M32" s="26">
        <f>IF($D32=D31+12,VLOOKUP($D32,'Base dinâmica'!$A$8:$O$367,15,0),"")</f>
        <v>16790703.27933922</v>
      </c>
    </row>
    <row r="33" spans="1:13" x14ac:dyDescent="0.25">
      <c r="A33" s="29" t="s">
        <v>60</v>
      </c>
      <c r="B33" s="46">
        <v>7.7</v>
      </c>
      <c r="D33" s="25">
        <f t="shared" si="0"/>
        <v>324</v>
      </c>
      <c r="E33" s="26">
        <f>IF(D33="","",(IF($B$24="PRICE",'Price x SAC x SACRE'!B330,IF($B$24="sac",'Price x SAC x SACRE'!G330,IF($B$24="sacre",'Price x SAC x SACRE'!L330,""))))*-1)</f>
        <v>-4100.9182743504371</v>
      </c>
      <c r="F33" s="26">
        <f>IF(D33="","",IF($B$24="PRICE",'Price x SAC x SACRE'!C330,IF($B$24="sac",'Price x SAC x SACRE'!H330,IF($B$24="sacre",'Price x SAC x SACRE'!M330,""))))</f>
        <v>2891.5156324760183</v>
      </c>
      <c r="G33" s="26">
        <f>IF(D33="","",IF($B$24="PRICE",'Price x SAC x SACRE'!D330,IF($B$24="sac",'Price x SAC x SACRE'!I330,IF($B$24="sacre",'Price x SAC x SACRE'!N330,""))))</f>
        <v>1209.402641874419</v>
      </c>
      <c r="H33" s="26">
        <f>IF(D33="","",(IF($B$24="PRICE",'Price x SAC x SACRE'!E330,IF($B$24="sac",'Price x SAC x SACRE'!J330,IF($B$24="sacre",'Price x SAC x SACRE'!O330,""))))*-1)</f>
        <v>-124564.38420770342</v>
      </c>
      <c r="I33" s="26">
        <f>IF(D33="","",IF($D33=D32+12,VLOOKUP($D33,'Base dinâmica'!$A$8:$O$367,6,0),""))</f>
        <v>38992.217830536298</v>
      </c>
      <c r="J33" s="26">
        <f>IF(D33="","",IF($D33=+D32+12,VLOOKUP($D33,'Base dinâmica'!$A$8:$O$367,7,0),""))</f>
        <v>-1504.5828979036887</v>
      </c>
      <c r="K33" s="26">
        <f>IF(D33="","",IF($D33=D32+12,VLOOKUP($D33,'Base dinâmica'!$A$8:$O$367,8,0),""))</f>
        <v>0</v>
      </c>
      <c r="L33" s="26">
        <f>IF($D33=D32+12,VLOOKUP($D33,'Base dinâmica'!$A$8:$O$367,9,0),"")</f>
        <v>37487.634932632609</v>
      </c>
      <c r="M33" s="26">
        <f>IF($D33=D32+12,VLOOKUP($D33,'Base dinâmica'!$A$8:$O$367,15,0),"")</f>
        <v>19006299.182823714</v>
      </c>
    </row>
    <row r="34" spans="1:13" x14ac:dyDescent="0.25">
      <c r="A34" s="29" t="s">
        <v>57</v>
      </c>
      <c r="B34" s="47">
        <v>0.05</v>
      </c>
      <c r="D34" s="25">
        <f t="shared" si="0"/>
        <v>336</v>
      </c>
      <c r="E34" s="26">
        <f>IF(D34="","",(IF($B$24="PRICE",'Price x SAC x SACRE'!B342,IF($B$24="sac",'Price x SAC x SACRE'!G342,IF($B$24="sacre",'Price x SAC x SACRE'!L342,""))))*-1)</f>
        <v>-4100.9182743504371</v>
      </c>
      <c r="F34" s="26">
        <f>IF(D34="","",IF($B$24="PRICE",'Price x SAC x SACRE'!C342,IF($B$24="sac",'Price x SAC x SACRE'!H342,IF($B$24="sacre",'Price x SAC x SACRE'!M342,""))))</f>
        <v>3238.4975083731433</v>
      </c>
      <c r="G34" s="26">
        <f>IF(D34="","",IF($B$24="PRICE",'Price x SAC x SACRE'!D342,IF($B$24="sac",'Price x SAC x SACRE'!I342,IF($B$24="sacre",'Price x SAC x SACRE'!N342,""))))</f>
        <v>862.4207659772942</v>
      </c>
      <c r="H34" s="26">
        <f>IF(D34="","",(IF($B$24="PRICE",'Price x SAC x SACRE'!E342,IF($B$24="sac",'Price x SAC x SACRE'!J342,IF($B$24="sacre",'Price x SAC x SACRE'!O342,""))))*-1)</f>
        <v>-87649.855933727813</v>
      </c>
      <c r="I34" s="26">
        <f>IF(D34="","",IF($D34=D33+12,VLOOKUP($D34,'Base dinâmica'!$A$8:$O$367,6,0),""))</f>
        <v>40941.828722063146</v>
      </c>
      <c r="J34" s="26">
        <f>IF(D34="","",IF($D34=+D33+12,VLOOKUP($D34,'Base dinâmica'!$A$8:$O$367,7,0),""))</f>
        <v>-1579.8120427988745</v>
      </c>
      <c r="K34" s="26">
        <f>IF(D34="","",IF($D34=D33+12,VLOOKUP($D34,'Base dinâmica'!$A$8:$O$367,8,0),""))</f>
        <v>0</v>
      </c>
      <c r="L34" s="26">
        <f>IF($D34=D33+12,VLOOKUP($D34,'Base dinâmica'!$A$8:$O$367,9,0),"")</f>
        <v>39362.01667926427</v>
      </c>
      <c r="M34" s="26">
        <f>IF($D34=D33+12,VLOOKUP($D34,'Base dinâmica'!$A$8:$O$367,15,0),"")</f>
        <v>21483180.960714292</v>
      </c>
    </row>
    <row r="35" spans="1:13" x14ac:dyDescent="0.25">
      <c r="A35" s="29" t="s">
        <v>56</v>
      </c>
      <c r="B35" s="47">
        <v>0.1075</v>
      </c>
      <c r="D35" s="25">
        <f t="shared" si="0"/>
        <v>348</v>
      </c>
      <c r="E35" s="26">
        <f>IF(D35="","",(IF($B$24="PRICE",'Price x SAC x SACRE'!B354,IF($B$24="sac",'Price x SAC x SACRE'!G354,IF($B$24="sacre",'Price x SAC x SACRE'!L354,""))))*-1)</f>
        <v>-4100.9182743504371</v>
      </c>
      <c r="F35" s="26">
        <f>IF(D35="","",IF($B$24="PRICE",'Price x SAC x SACRE'!C354,IF($B$24="sac",'Price x SAC x SACRE'!H354,IF($B$24="sacre",'Price x SAC x SACRE'!M354,""))))</f>
        <v>3627.1172093779232</v>
      </c>
      <c r="G35" s="26">
        <f>IF(D35="","",IF($B$24="PRICE",'Price x SAC x SACRE'!D354,IF($B$24="sac",'Price x SAC x SACRE'!I354,IF($B$24="sacre",'Price x SAC x SACRE'!N354,""))))</f>
        <v>473.80106497251393</v>
      </c>
      <c r="H35" s="26">
        <f>IF(D35="","",(IF($B$24="PRICE",'Price x SAC x SACRE'!E354,IF($B$24="sac",'Price x SAC x SACRE'!J354,IF($B$24="sacre",'Price x SAC x SACRE'!O354,""))))*-1)</f>
        <v>-46305.584266875077</v>
      </c>
      <c r="I35" s="26">
        <f>IF(D35="","",IF($D35=D34+12,VLOOKUP($D35,'Base dinâmica'!$A$8:$O$367,6,0),""))</f>
        <v>42988.920158166344</v>
      </c>
      <c r="J35" s="26">
        <f>IF(D35="","",IF($D35=+D34+12,VLOOKUP($D35,'Base dinâmica'!$A$8:$O$367,7,0),""))</f>
        <v>-1658.8026449388196</v>
      </c>
      <c r="K35" s="26">
        <f>IF(D35="","",IF($D35=D34+12,VLOOKUP($D35,'Base dinâmica'!$A$8:$O$367,8,0),""))</f>
        <v>0</v>
      </c>
      <c r="L35" s="26">
        <f>IF($D35=D34+12,VLOOKUP($D35,'Base dinâmica'!$A$8:$O$367,9,0),"")</f>
        <v>41330.117513227524</v>
      </c>
      <c r="M35" s="26">
        <f>IF($D35=D34+12,VLOOKUP($D35,'Base dinâmica'!$A$8:$O$367,15,0),"")</f>
        <v>24250592.310248688</v>
      </c>
    </row>
    <row r="36" spans="1:13" x14ac:dyDescent="0.25">
      <c r="A36" s="30" t="s">
        <v>62</v>
      </c>
      <c r="B36" s="48">
        <v>1</v>
      </c>
      <c r="D36" s="35">
        <f t="shared" si="0"/>
        <v>360</v>
      </c>
      <c r="E36" s="36">
        <f>IF(D36="","",(IF($B$24="PRICE",'Price x SAC x SACRE'!B366,IF($B$24="sac",'Price x SAC x SACRE'!G366,IF($B$24="sacre",'Price x SAC x SACRE'!L366,""))))*-1)</f>
        <v>-4100.9182743504371</v>
      </c>
      <c r="F36" s="36">
        <f>IF(D36="","",IF($B$24="PRICE",'Price x SAC x SACRE'!C366,IF($B$24="sac",'Price x SAC x SACRE'!H366,IF($B$24="sacre",'Price x SAC x SACRE'!M366,""))))</f>
        <v>4062.3712745032776</v>
      </c>
      <c r="G36" s="36">
        <f>IF(D36="","",IF($B$24="PRICE",'Price x SAC x SACRE'!D366,IF($B$24="sac",'Price x SAC x SACRE'!I366,IF($B$24="sacre",'Price x SAC x SACRE'!N366,""))))</f>
        <v>38.546999847159618</v>
      </c>
      <c r="H36" s="36">
        <f>IF(D36="","",(IF($B$24="PRICE",'Price x SAC x SACRE'!E366,IF($B$24="sac",'Price x SAC x SACRE'!J366,IF($B$24="sacre",'Price x SAC x SACRE'!O366,""))))*-1)</f>
        <v>2.1373125491663814E-11</v>
      </c>
      <c r="I36" s="36">
        <f>IF(D36="","",IF($D36=D35+12,VLOOKUP($D36,'Base dinâmica'!$A$8:$O$367,6,0),""))</f>
        <v>45138.366166074702</v>
      </c>
      <c r="J36" s="36">
        <f>IF(D36="","",IF($D36=+D35+12,VLOOKUP($D36,'Base dinâmica'!$A$8:$O$367,7,0),""))</f>
        <v>-1741.7427771857622</v>
      </c>
      <c r="K36" s="36">
        <f>IF(D36="","",IF($D36=D35+12,VLOOKUP($D36,'Base dinâmica'!$A$8:$O$367,8,0),""))</f>
        <v>0</v>
      </c>
      <c r="L36" s="36">
        <f>IF($D36=D35+12,VLOOKUP($D36,'Base dinâmica'!$A$8:$O$367,9,0),"")</f>
        <v>43396.62338888894</v>
      </c>
      <c r="M36" s="36">
        <f>IF($D36=D35+12,VLOOKUP($D36,'Base dinâmica'!$A$8:$O$367,15,0),"")</f>
        <v>27340978.39940466</v>
      </c>
    </row>
    <row r="37" spans="1:13" x14ac:dyDescent="0.25">
      <c r="D37" s="6"/>
    </row>
    <row r="38" spans="1:13" ht="15.75" thickBot="1" x14ac:dyDescent="0.3">
      <c r="A38" s="171" t="s">
        <v>76</v>
      </c>
      <c r="B38" s="172"/>
      <c r="D38" s="6"/>
    </row>
    <row r="39" spans="1:13" ht="15.75" thickTop="1" x14ac:dyDescent="0.25">
      <c r="A39" s="29" t="str">
        <f>IF(B17=100%,"Pagamento à vista","Pagto do Ato")</f>
        <v>Pagto do Ato</v>
      </c>
      <c r="B39" s="168">
        <f>+B17*$B$11</f>
        <v>104440</v>
      </c>
      <c r="D39" s="6"/>
    </row>
    <row r="40" spans="1:13" x14ac:dyDescent="0.25">
      <c r="A40" s="29" t="s">
        <v>16</v>
      </c>
      <c r="B40" s="168">
        <f>+B18*$B$11</f>
        <v>0</v>
      </c>
      <c r="D40" s="6"/>
    </row>
    <row r="41" spans="1:13" x14ac:dyDescent="0.25">
      <c r="A41" s="29" t="s">
        <v>14</v>
      </c>
      <c r="B41" s="168">
        <f>+B19*$B$11</f>
        <v>0</v>
      </c>
      <c r="D41" s="6"/>
    </row>
    <row r="42" spans="1:13" x14ac:dyDescent="0.25">
      <c r="A42" s="29" t="s">
        <v>17</v>
      </c>
      <c r="B42" s="168">
        <f>+B20*$B$11</f>
        <v>0</v>
      </c>
      <c r="D42" s="6"/>
    </row>
    <row r="43" spans="1:13" x14ac:dyDescent="0.25">
      <c r="A43" s="30" t="s">
        <v>77</v>
      </c>
      <c r="B43" s="169">
        <f>SUM(B39:B42)</f>
        <v>104440</v>
      </c>
      <c r="C43" s="37"/>
      <c r="D43" s="38"/>
    </row>
    <row r="44" spans="1:13" x14ac:dyDescent="0.25">
      <c r="C44" s="37"/>
      <c r="D44" s="38"/>
    </row>
    <row r="45" spans="1:13" x14ac:dyDescent="0.25">
      <c r="C45" s="39"/>
      <c r="D45" s="38"/>
    </row>
  </sheetData>
  <sheetProtection algorithmName="SHA-512" hashValue="EaVFlRqkjRkyxK4xdzMPXlj1GzvX8HslseyQqCkNg6ogzGADmDZ5XKtj+p6lf4HN5kaCtkSCutD2f+75E/DtzQ==" saltValue="stOQr3VRh6OZnj979ATMeA==" spinCount="100000" sheet="1" objects="1" scenarios="1"/>
  <mergeCells count="6">
    <mergeCell ref="A38:B38"/>
    <mergeCell ref="A1:B4"/>
    <mergeCell ref="A29:B29"/>
    <mergeCell ref="A15:B15"/>
    <mergeCell ref="A5:B5"/>
    <mergeCell ref="A23:B23"/>
  </mergeCells>
  <dataValidations count="1">
    <dataValidation type="list" showInputMessage="1" showErrorMessage="1" promptTitle="Financiamento" prompt="Escolha a Opção" sqref="B24" xr:uid="{F8298D06-ED8A-4DB1-80A0-260576081C9B}">
      <formula1>"PRICE,SAC,SACRE"</formula1>
    </dataValidation>
  </dataValidations>
  <printOptions horizontalCentered="1" verticalCentered="1"/>
  <pageMargins left="0.11811023622047245" right="0.11811023622047245" top="0.39370078740157483" bottom="0.39370078740157483" header="0.31496062992125984" footer="0.31496062992125984"/>
  <pageSetup paperSize="9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2A6E-5DA7-43DE-A846-0D66337AACDE}">
  <sheetPr codeName="Planilha2">
    <tabColor rgb="FFFFFF00"/>
    <pageSetUpPr fitToPage="1"/>
  </sheetPr>
  <dimension ref="A1:R368"/>
  <sheetViews>
    <sheetView showGridLines="0" workbookViewId="0">
      <pane xSplit="1" ySplit="7" topLeftCell="E8" activePane="bottomRight" state="frozen"/>
      <selection activeCell="G69" sqref="G69"/>
      <selection pane="topRight" activeCell="G69" sqref="G69"/>
      <selection pane="bottomLeft" activeCell="G69" sqref="G69"/>
      <selection pane="bottomRight" activeCell="L4" sqref="L4"/>
    </sheetView>
  </sheetViews>
  <sheetFormatPr defaultRowHeight="15" outlineLevelRow="1" x14ac:dyDescent="0.25"/>
  <cols>
    <col min="1" max="1" width="9.140625" style="107"/>
    <col min="2" max="2" width="18.5703125" style="111" customWidth="1"/>
    <col min="3" max="3" width="19.42578125" style="111" bestFit="1" customWidth="1"/>
    <col min="4" max="5" width="14.7109375" style="111" customWidth="1"/>
    <col min="6" max="6" width="15" style="111" customWidth="1"/>
    <col min="7" max="7" width="12.140625" style="111" bestFit="1" customWidth="1"/>
    <col min="8" max="8" width="15" style="111" customWidth="1"/>
    <col min="9" max="9" width="12.85546875" style="111" customWidth="1"/>
    <col min="10" max="10" width="15.85546875" style="94" bestFit="1" customWidth="1"/>
    <col min="11" max="11" width="8.140625" style="6" bestFit="1" customWidth="1"/>
    <col min="12" max="12" width="10.7109375" style="6" bestFit="1" customWidth="1"/>
    <col min="13" max="13" width="12" style="86" bestFit="1" customWidth="1"/>
    <col min="14" max="14" width="12" style="86" customWidth="1"/>
    <col min="15" max="15" width="14.28515625" style="86" customWidth="1"/>
    <col min="16" max="16" width="15.85546875" style="86" customWidth="1"/>
    <col min="17" max="17" width="9.140625" style="6"/>
    <col min="18" max="18" width="19.140625" style="6" customWidth="1"/>
    <col min="19" max="16384" width="9.140625" style="6"/>
  </cols>
  <sheetData>
    <row r="1" spans="1:18" ht="15.75" thickBot="1" x14ac:dyDescent="0.3">
      <c r="A1" s="81" t="s">
        <v>20</v>
      </c>
      <c r="B1" s="82" t="s">
        <v>19</v>
      </c>
      <c r="C1" s="83"/>
      <c r="D1" s="179" t="str">
        <f>+Dashboard!B24</f>
        <v>PRICE</v>
      </c>
      <c r="E1" s="180"/>
      <c r="F1" s="181" t="s">
        <v>13</v>
      </c>
      <c r="G1" s="182"/>
      <c r="H1" s="182"/>
      <c r="I1" s="183"/>
      <c r="J1" s="84" t="s">
        <v>49</v>
      </c>
      <c r="L1" s="85">
        <f>+Dashboard!B30</f>
        <v>0.02</v>
      </c>
      <c r="M1" s="6"/>
      <c r="N1" s="6"/>
      <c r="P1" s="161"/>
      <c r="Q1" s="161"/>
      <c r="R1" s="10"/>
    </row>
    <row r="2" spans="1:18" x14ac:dyDescent="0.25">
      <c r="A2" s="87">
        <f>+Dashboard!B8</f>
        <v>1</v>
      </c>
      <c r="B2" s="88" t="s">
        <v>38</v>
      </c>
      <c r="C2" s="89">
        <f>+Dashboard!B10*Dashboard!B8</f>
        <v>522200</v>
      </c>
      <c r="D2" s="90" t="s">
        <v>43</v>
      </c>
      <c r="E2" s="91">
        <v>0.06</v>
      </c>
      <c r="F2" s="92" t="s">
        <v>15</v>
      </c>
      <c r="G2" s="93">
        <f>+'Simulação Fluxo de pag.'!G2</f>
        <v>104440</v>
      </c>
      <c r="H2" s="37">
        <f>+'Simulação Fluxo de pag.'!H2</f>
        <v>0.2</v>
      </c>
      <c r="I2" s="38">
        <f>+'Simulação Fluxo de pag.'!I2</f>
        <v>104440</v>
      </c>
      <c r="J2" s="94" t="s">
        <v>46</v>
      </c>
      <c r="L2" s="95">
        <f>(((1+N2)^(1/12))-1)</f>
        <v>8.5450710394860963E-3</v>
      </c>
      <c r="M2" s="96" t="str">
        <f>TEXT(+Dashboard!$B$36,"0%")&amp;"  CDI de "</f>
        <v xml:space="preserve">100%  CDI de </v>
      </c>
      <c r="N2" s="159">
        <f>+Dashboard!$B$35</f>
        <v>0.1075</v>
      </c>
      <c r="Q2" s="158"/>
      <c r="R2" s="98"/>
    </row>
    <row r="3" spans="1:18" x14ac:dyDescent="0.25">
      <c r="A3" s="99"/>
      <c r="B3" s="88" t="s">
        <v>21</v>
      </c>
      <c r="C3" s="88">
        <f>+Dashboard!B13</f>
        <v>417760</v>
      </c>
      <c r="D3" s="100" t="s">
        <v>44</v>
      </c>
      <c r="E3" s="101">
        <v>180</v>
      </c>
      <c r="F3" s="92" t="s">
        <v>16</v>
      </c>
      <c r="G3" s="93">
        <f>+'Simulação Fluxo de pag.'!G3</f>
        <v>0</v>
      </c>
      <c r="H3" s="37">
        <f>+'Simulação Fluxo de pag.'!H3</f>
        <v>0</v>
      </c>
      <c r="I3" s="38">
        <f>+'Simulação Fluxo de pag.'!I3</f>
        <v>0</v>
      </c>
      <c r="J3" s="94" t="s">
        <v>58</v>
      </c>
      <c r="L3" s="95">
        <f>(((1+N3)^(1/12))-1)</f>
        <v>4.0741237836483535E-3</v>
      </c>
      <c r="M3" s="96" t="s">
        <v>59</v>
      </c>
      <c r="N3" s="97">
        <f>+Dashboard!$B$34</f>
        <v>0.05</v>
      </c>
      <c r="Q3" s="105"/>
      <c r="R3" s="98"/>
    </row>
    <row r="4" spans="1:18" x14ac:dyDescent="0.25">
      <c r="A4" s="99"/>
      <c r="B4" s="102"/>
      <c r="C4" s="103"/>
      <c r="D4" s="104"/>
      <c r="E4" s="178"/>
      <c r="F4" s="92" t="s">
        <v>14</v>
      </c>
      <c r="G4" s="93">
        <f>+'Simulação Fluxo de pag.'!G4</f>
        <v>0</v>
      </c>
      <c r="H4" s="37">
        <f>+'Simulação Fluxo de pag.'!H4</f>
        <v>0</v>
      </c>
      <c r="I4" s="38">
        <f>+'Simulação Fluxo de pag.'!I4</f>
        <v>0</v>
      </c>
      <c r="J4" s="94" t="s">
        <v>64</v>
      </c>
      <c r="L4" s="105">
        <v>5.0000000000000001E-3</v>
      </c>
      <c r="R4" s="106"/>
    </row>
    <row r="5" spans="1:18" x14ac:dyDescent="0.25">
      <c r="B5" s="104"/>
      <c r="C5" s="108"/>
      <c r="D5" s="104">
        <v>1793.5050000000015</v>
      </c>
      <c r="E5" s="178"/>
      <c r="F5" s="92" t="s">
        <v>17</v>
      </c>
      <c r="G5" s="93">
        <f>+'Simulação Fluxo de pag.'!G5</f>
        <v>0</v>
      </c>
      <c r="H5" s="37">
        <f>+'Simulação Fluxo de pag.'!H5</f>
        <v>0</v>
      </c>
      <c r="I5" s="38">
        <f>+'Simulação Fluxo de pag.'!I5</f>
        <v>0</v>
      </c>
      <c r="J5" s="162" t="s">
        <v>74</v>
      </c>
      <c r="L5" s="105">
        <f>+I8/C2</f>
        <v>1.8771160474913826E-2</v>
      </c>
      <c r="P5" s="157"/>
      <c r="R5" s="10"/>
    </row>
    <row r="6" spans="1:18" x14ac:dyDescent="0.25">
      <c r="A6" s="99"/>
      <c r="B6" s="109"/>
      <c r="C6" s="110"/>
      <c r="D6" s="110"/>
      <c r="F6" s="112"/>
      <c r="G6" s="113"/>
      <c r="H6" s="114">
        <f>SUM(H2:H5)</f>
        <v>0.2</v>
      </c>
      <c r="I6" s="115">
        <f>SUM(I2:I5)</f>
        <v>104440</v>
      </c>
      <c r="J6" s="163" t="s">
        <v>75</v>
      </c>
      <c r="L6" s="105">
        <f>+L5/1.275</f>
        <v>1.4722478803853982E-2</v>
      </c>
      <c r="R6" s="10"/>
    </row>
    <row r="7" spans="1:18" s="94" customFormat="1" ht="45.75" thickBot="1" x14ac:dyDescent="0.3">
      <c r="A7" s="116" t="s">
        <v>0</v>
      </c>
      <c r="B7" s="116" t="s">
        <v>23</v>
      </c>
      <c r="C7" s="116" t="s">
        <v>24</v>
      </c>
      <c r="D7" s="116" t="s">
        <v>22</v>
      </c>
      <c r="E7" s="116" t="s">
        <v>25</v>
      </c>
      <c r="F7" s="117" t="s">
        <v>39</v>
      </c>
      <c r="G7" s="117" t="s">
        <v>41</v>
      </c>
      <c r="H7" s="117" t="s">
        <v>40</v>
      </c>
      <c r="I7" s="117" t="s">
        <v>42</v>
      </c>
      <c r="J7" s="117" t="s">
        <v>45</v>
      </c>
      <c r="K7" s="118" t="s">
        <v>48</v>
      </c>
      <c r="L7" s="117" t="s">
        <v>47</v>
      </c>
      <c r="M7" s="117" t="s">
        <v>63</v>
      </c>
      <c r="N7" s="118" t="s">
        <v>65</v>
      </c>
      <c r="O7" s="118" t="s">
        <v>50</v>
      </c>
    </row>
    <row r="8" spans="1:18" s="53" customFormat="1" ht="15.75" thickTop="1" x14ac:dyDescent="0.25">
      <c r="A8" s="68">
        <v>1</v>
      </c>
      <c r="B8" s="64">
        <f>IF($D$1="SAC",-'Price x SAC x SACRE'!G7,IF('Base dinâmica'!$D$1="Price",-'Price x SAC x SACRE'!B7,IF('Base dinâmica'!$D$1="sacre",-'Price x SAC x SACRE'!L7,0)))</f>
        <v>-4100.918274350438</v>
      </c>
      <c r="C8" s="64">
        <f>IF($D$1="SAC",-'Price x SAC x SACRE'!H7,IF('Base dinâmica'!$D$1="Price",-'Price x SAC x SACRE'!C7,IF('Base dinâmica'!$D$1="sacre",-'Price x SAC x SACRE'!M7,0)))</f>
        <v>-136.88013799902444</v>
      </c>
      <c r="D8" s="64">
        <f>IF($D$1="SAC",-'Price x SAC x SACRE'!I7,IF('Base dinâmica'!$D$1="Price",-'Price x SAC x SACRE'!D7,IF('Base dinâmica'!$D$1="sacre",-'Price x SAC x SACRE'!N7,0)))</f>
        <v>-3964.0381363514134</v>
      </c>
      <c r="E8" s="64">
        <f>IF($D$1="SAC",-'Price x SAC x SACRE'!J7,IF('Base dinâmica'!$D$1="Price",-'Price x SAC x SACRE'!E7,IF('Base dinâmica'!$D$1="sacre",-'Price x SAC x SACRE'!O7,0)))</f>
        <v>-417623.11986200098</v>
      </c>
      <c r="F8" s="64">
        <f t="shared" ref="F8:F19" si="0">+$C$2*$L$1</f>
        <v>10444</v>
      </c>
      <c r="G8" s="64">
        <f>-(Dashboard!$B$32*Dashboard!$B$9)*$A$2</f>
        <v>-403</v>
      </c>
      <c r="H8" s="64">
        <f>-(Dashboard!$B$33*Dashboard!$B$9)*$A$2</f>
        <v>-238.70000000000002</v>
      </c>
      <c r="I8" s="64">
        <f>+F8+G8+H8</f>
        <v>9802.2999999999993</v>
      </c>
      <c r="J8" s="119">
        <f>+$L$3</f>
        <v>4.0741237836483535E-3</v>
      </c>
      <c r="K8" s="119">
        <f>+J8</f>
        <v>4.0741237836483535E-3</v>
      </c>
      <c r="L8" s="120">
        <f t="shared" ref="L8:L71" si="1">+$N$2</f>
        <v>0.1075</v>
      </c>
      <c r="M8" s="121">
        <f>+Dashboard!$B$36</f>
        <v>1</v>
      </c>
      <c r="N8" s="160">
        <f>((((1+L8)^(1/12))-1)*M8)</f>
        <v>8.5450710394860963E-3</v>
      </c>
      <c r="O8" s="64">
        <f>(+I8+B8)</f>
        <v>5701.3817256495613</v>
      </c>
      <c r="Q8" s="164">
        <f>+B8+I8</f>
        <v>5701.3817256495613</v>
      </c>
    </row>
    <row r="9" spans="1:18" outlineLevel="1" x14ac:dyDescent="0.25">
      <c r="A9" s="122">
        <v>2</v>
      </c>
      <c r="B9" s="70">
        <f>IF($D$1="SAC",-'Price x SAC x SACRE'!G8,IF('Base dinâmica'!$D$1="Price",-'Price x SAC x SACRE'!B8,IF('Base dinâmica'!$D$1="sacre",-'Price x SAC x SACRE'!L8,0)))</f>
        <v>-4100.918274350438</v>
      </c>
      <c r="C9" s="70">
        <f>IF($D$1="SAC",-'Price x SAC x SACRE'!H8,IF('Base dinâmica'!$D$1="Price",-'Price x SAC x SACRE'!C8,IF('Base dinâmica'!$D$1="sacre",-'Price x SAC x SACRE'!M8,0)))</f>
        <v>-138.17896528535434</v>
      </c>
      <c r="D9" s="70">
        <f>IF($D$1="SAC",-'Price x SAC x SACRE'!I8,IF('Base dinâmica'!$D$1="Price",-'Price x SAC x SACRE'!D8,IF('Base dinâmica'!$D$1="sacre",-'Price x SAC x SACRE'!N8,0)))</f>
        <v>-3962.7393090650835</v>
      </c>
      <c r="E9" s="70">
        <f>IF($D$1="SAC",-'Price x SAC x SACRE'!J8,IF('Base dinâmica'!$D$1="Price",-'Price x SAC x SACRE'!E8,IF('Base dinâmica'!$D$1="sacre",-'Price x SAC x SACRE'!O8,0)))</f>
        <v>-417484.94089671562</v>
      </c>
      <c r="F9" s="70">
        <f t="shared" si="0"/>
        <v>10444</v>
      </c>
      <c r="G9" s="70">
        <f>-(Dashboard!$B$32*Dashboard!$B$9)*$A$2</f>
        <v>-403</v>
      </c>
      <c r="H9" s="70">
        <f>-(Dashboard!$B$33*Dashboard!$B$9)*$A$2</f>
        <v>-238.70000000000002</v>
      </c>
      <c r="I9" s="70">
        <f t="shared" ref="I9:I72" si="2">+F9+G9+H9</f>
        <v>9802.2999999999993</v>
      </c>
      <c r="J9" s="123">
        <f t="shared" ref="J9:J72" si="3">+$L$3</f>
        <v>4.0741237836483535E-3</v>
      </c>
      <c r="K9" s="123">
        <f>((+K8+1)*(J9+1))-1</f>
        <v>8.1648460519012644E-3</v>
      </c>
      <c r="L9" s="124">
        <f t="shared" si="1"/>
        <v>0.1075</v>
      </c>
      <c r="M9" s="125">
        <f>+Dashboard!$B$36</f>
        <v>1</v>
      </c>
      <c r="N9" s="160">
        <f t="shared" ref="N9:N72" si="4">((((1+L9)^(1/12))-1)*M9)</f>
        <v>8.5450710394860963E-3</v>
      </c>
      <c r="O9" s="70">
        <f>IF(O8&lt;=0,+I9+B9+O8,(+O8)*(((((1+L9)^(1/12))-1)*(M9))+1)+I9+B9)</f>
        <v>11451.482163168024</v>
      </c>
      <c r="Q9" s="164">
        <f t="shared" ref="Q9:Q22" si="5">+B9+I9</f>
        <v>5701.3817256495613</v>
      </c>
    </row>
    <row r="10" spans="1:18" outlineLevel="1" x14ac:dyDescent="0.25">
      <c r="A10" s="122">
        <v>3</v>
      </c>
      <c r="B10" s="70">
        <f>IF($D$1="SAC",-'Price x SAC x SACRE'!G9,IF('Base dinâmica'!$D$1="Price",-'Price x SAC x SACRE'!B9,IF('Base dinâmica'!$D$1="sacre",-'Price x SAC x SACRE'!L9,0)))</f>
        <v>-4100.9182743504371</v>
      </c>
      <c r="C10" s="70">
        <f>IF($D$1="SAC",-'Price x SAC x SACRE'!H9,IF('Base dinâmica'!$D$1="Price",-'Price x SAC x SACRE'!C9,IF('Base dinâmica'!$D$1="sacre",-'Price x SAC x SACRE'!M9,0)))</f>
        <v>-139.490116874862</v>
      </c>
      <c r="D10" s="70">
        <f>IF($D$1="SAC",-'Price x SAC x SACRE'!I9,IF('Base dinâmica'!$D$1="Price",-'Price x SAC x SACRE'!D9,IF('Base dinâmica'!$D$1="sacre",-'Price x SAC x SACRE'!N9,0)))</f>
        <v>-3961.4281574755755</v>
      </c>
      <c r="E10" s="70">
        <f>IF($D$1="SAC",-'Price x SAC x SACRE'!J9,IF('Base dinâmica'!$D$1="Price",-'Price x SAC x SACRE'!E9,IF('Base dinâmica'!$D$1="sacre",-'Price x SAC x SACRE'!O9,0)))</f>
        <v>-417345.45077984076</v>
      </c>
      <c r="F10" s="70">
        <f t="shared" si="0"/>
        <v>10444</v>
      </c>
      <c r="G10" s="70">
        <f>-(Dashboard!$B$32*Dashboard!$B$9)*$A$2</f>
        <v>-403</v>
      </c>
      <c r="H10" s="70">
        <f>-(Dashboard!$B$33*Dashboard!$B$9)*$A$2</f>
        <v>-238.70000000000002</v>
      </c>
      <c r="I10" s="70">
        <f t="shared" si="2"/>
        <v>9802.2999999999993</v>
      </c>
      <c r="J10" s="123">
        <f t="shared" si="3"/>
        <v>4.0741237836483535E-3</v>
      </c>
      <c r="K10" s="123">
        <f t="shared" ref="K10:K19" si="6">((+K9+1)*(J10+1))-1</f>
        <v>1.2272234429039575E-2</v>
      </c>
      <c r="L10" s="124">
        <f t="shared" si="1"/>
        <v>0.1075</v>
      </c>
      <c r="M10" s="125">
        <f>+Dashboard!$B$36</f>
        <v>1</v>
      </c>
      <c r="N10" s="160">
        <f t="shared" si="4"/>
        <v>8.5450710394860963E-3</v>
      </c>
      <c r="O10" s="70">
        <f t="shared" ref="O10:O73" si="7">IF(O9&lt;=0,+I10+B10+O9,(+O9)*(((((1+L10)^(1/12))-1)*(M10))+1)+I10+B10)</f>
        <v>17250.717617409267</v>
      </c>
      <c r="Q10" s="164">
        <f t="shared" si="5"/>
        <v>5701.3817256495622</v>
      </c>
    </row>
    <row r="11" spans="1:18" outlineLevel="1" x14ac:dyDescent="0.25">
      <c r="A11" s="122">
        <v>4</v>
      </c>
      <c r="B11" s="70">
        <f>IF($D$1="SAC",-'Price x SAC x SACRE'!G10,IF('Base dinâmica'!$D$1="Price",-'Price x SAC x SACRE'!B10,IF('Base dinâmica'!$D$1="sacre",-'Price x SAC x SACRE'!L10,0)))</f>
        <v>-4100.918274350438</v>
      </c>
      <c r="C11" s="70">
        <f>IF($D$1="SAC",-'Price x SAC x SACRE'!H10,IF('Base dinâmica'!$D$1="Price",-'Price x SAC x SACRE'!C10,IF('Base dinâmica'!$D$1="sacre",-'Price x SAC x SACRE'!M10,0)))</f>
        <v>-140.81370971030833</v>
      </c>
      <c r="D11" s="70">
        <f>IF($D$1="SAC",-'Price x SAC x SACRE'!I10,IF('Base dinâmica'!$D$1="Price",-'Price x SAC x SACRE'!D10,IF('Base dinâmica'!$D$1="sacre",-'Price x SAC x SACRE'!N10,0)))</f>
        <v>-3960.1045646401294</v>
      </c>
      <c r="E11" s="70">
        <f>IF($D$1="SAC",-'Price x SAC x SACRE'!J10,IF('Base dinâmica'!$D$1="Price",-'Price x SAC x SACRE'!E10,IF('Base dinâmica'!$D$1="sacre",-'Price x SAC x SACRE'!O10,0)))</f>
        <v>-417204.63707013044</v>
      </c>
      <c r="F11" s="70">
        <f t="shared" si="0"/>
        <v>10444</v>
      </c>
      <c r="G11" s="70">
        <f>-(Dashboard!$B$32*Dashboard!$B$9)*$A$2</f>
        <v>-403</v>
      </c>
      <c r="H11" s="70">
        <f>-(Dashboard!$B$33*Dashboard!$B$9)*$A$2</f>
        <v>-238.70000000000002</v>
      </c>
      <c r="I11" s="70">
        <f t="shared" si="2"/>
        <v>9802.2999999999993</v>
      </c>
      <c r="J11" s="123">
        <f t="shared" si="3"/>
        <v>4.0741237836483535E-3</v>
      </c>
      <c r="K11" s="123">
        <f t="shared" si="6"/>
        <v>1.6396356814853741E-2</v>
      </c>
      <c r="L11" s="124">
        <f t="shared" si="1"/>
        <v>0.1075</v>
      </c>
      <c r="M11" s="125">
        <f>+Dashboard!$B$36</f>
        <v>1</v>
      </c>
      <c r="N11" s="160">
        <f t="shared" si="4"/>
        <v>8.5450710394860963E-3</v>
      </c>
      <c r="O11" s="70">
        <f t="shared" si="7"/>
        <v>23099.507950581705</v>
      </c>
      <c r="Q11" s="164">
        <f t="shared" si="5"/>
        <v>5701.3817256495613</v>
      </c>
    </row>
    <row r="12" spans="1:18" outlineLevel="1" x14ac:dyDescent="0.25">
      <c r="A12" s="122">
        <v>5</v>
      </c>
      <c r="B12" s="70">
        <f>IF($D$1="SAC",-'Price x SAC x SACRE'!G11,IF('Base dinâmica'!$D$1="Price",-'Price x SAC x SACRE'!B11,IF('Base dinâmica'!$D$1="sacre",-'Price x SAC x SACRE'!L11,0)))</f>
        <v>-4100.9182743504371</v>
      </c>
      <c r="C12" s="70">
        <f>IF($D$1="SAC",-'Price x SAC x SACRE'!H11,IF('Base dinâmica'!$D$1="Price",-'Price x SAC x SACRE'!C11,IF('Base dinâmica'!$D$1="sacre",-'Price x SAC x SACRE'!M11,0)))</f>
        <v>-142.14986184409992</v>
      </c>
      <c r="D12" s="70">
        <f>IF($D$1="SAC",-'Price x SAC x SACRE'!I11,IF('Base dinâmica'!$D$1="Price",-'Price x SAC x SACRE'!D11,IF('Base dinâmica'!$D$1="sacre",-'Price x SAC x SACRE'!N11,0)))</f>
        <v>-3958.7684125063374</v>
      </c>
      <c r="E12" s="70">
        <f>IF($D$1="SAC",-'Price x SAC x SACRE'!J11,IF('Base dinâmica'!$D$1="Price",-'Price x SAC x SACRE'!E11,IF('Base dinâmica'!$D$1="sacre",-'Price x SAC x SACRE'!O11,0)))</f>
        <v>-417062.48720828636</v>
      </c>
      <c r="F12" s="70">
        <f t="shared" si="0"/>
        <v>10444</v>
      </c>
      <c r="G12" s="70">
        <f>-(Dashboard!$B$32*Dashboard!$B$9)*$A$2</f>
        <v>-403</v>
      </c>
      <c r="H12" s="70">
        <f>-(Dashboard!$B$33*Dashboard!$B$9)*$A$2</f>
        <v>-238.70000000000002</v>
      </c>
      <c r="I12" s="70">
        <f t="shared" si="2"/>
        <v>9802.2999999999993</v>
      </c>
      <c r="J12" s="123">
        <f t="shared" si="3"/>
        <v>4.0741237836483535E-3</v>
      </c>
      <c r="K12" s="123">
        <f t="shared" si="6"/>
        <v>2.0537281385766715E-2</v>
      </c>
      <c r="L12" s="124">
        <f t="shared" si="1"/>
        <v>0.1075</v>
      </c>
      <c r="M12" s="125">
        <f>+Dashboard!$B$36</f>
        <v>1</v>
      </c>
      <c r="N12" s="160">
        <f t="shared" si="4"/>
        <v>8.5450710394860963E-3</v>
      </c>
      <c r="O12" s="70">
        <f t="shared" si="7"/>
        <v>28998.276612646165</v>
      </c>
      <c r="Q12" s="164">
        <f t="shared" si="5"/>
        <v>5701.3817256495622</v>
      </c>
    </row>
    <row r="13" spans="1:18" outlineLevel="1" x14ac:dyDescent="0.25">
      <c r="A13" s="122">
        <v>6</v>
      </c>
      <c r="B13" s="70">
        <f>IF($D$1="SAC",-'Price x SAC x SACRE'!G12,IF('Base dinâmica'!$D$1="Price",-'Price x SAC x SACRE'!B12,IF('Base dinâmica'!$D$1="sacre",-'Price x SAC x SACRE'!L12,0)))</f>
        <v>-4100.918274350438</v>
      </c>
      <c r="C13" s="70">
        <f>IF($D$1="SAC",-'Price x SAC x SACRE'!H12,IF('Base dinâmica'!$D$1="Price",-'Price x SAC x SACRE'!C12,IF('Base dinâmica'!$D$1="sacre",-'Price x SAC x SACRE'!M12,0)))</f>
        <v>-143.49869244881816</v>
      </c>
      <c r="D13" s="70">
        <f>IF($D$1="SAC",-'Price x SAC x SACRE'!I12,IF('Base dinâmica'!$D$1="Price",-'Price x SAC x SACRE'!D12,IF('Base dinâmica'!$D$1="sacre",-'Price x SAC x SACRE'!N12,0)))</f>
        <v>-3957.4195819016195</v>
      </c>
      <c r="E13" s="70">
        <f>IF($D$1="SAC",-'Price x SAC x SACRE'!J12,IF('Base dinâmica'!$D$1="Price",-'Price x SAC x SACRE'!E12,IF('Base dinâmica'!$D$1="sacre",-'Price x SAC x SACRE'!O12,0)))</f>
        <v>-416918.98851583753</v>
      </c>
      <c r="F13" s="70">
        <f t="shared" si="0"/>
        <v>10444</v>
      </c>
      <c r="G13" s="70">
        <f>-(Dashboard!$B$32*Dashboard!$B$9)*$A$2</f>
        <v>-403</v>
      </c>
      <c r="H13" s="70">
        <f>-(Dashboard!$B$33*Dashboard!$B$9)*$A$2</f>
        <v>-238.70000000000002</v>
      </c>
      <c r="I13" s="70">
        <f t="shared" si="2"/>
        <v>9802.2999999999993</v>
      </c>
      <c r="J13" s="123">
        <f t="shared" si="3"/>
        <v>4.0741237836483535E-3</v>
      </c>
      <c r="K13" s="123">
        <f t="shared" si="6"/>
        <v>2.4695076595960375E-2</v>
      </c>
      <c r="L13" s="124">
        <f t="shared" si="1"/>
        <v>0.1075</v>
      </c>
      <c r="M13" s="125">
        <f>+Dashboard!$B$36</f>
        <v>1</v>
      </c>
      <c r="N13" s="160">
        <f t="shared" si="4"/>
        <v>8.5450710394860963E-3</v>
      </c>
      <c r="O13" s="70">
        <f t="shared" si="7"/>
        <v>34947.450671973464</v>
      </c>
      <c r="Q13" s="164">
        <f t="shared" si="5"/>
        <v>5701.3817256495613</v>
      </c>
    </row>
    <row r="14" spans="1:18" outlineLevel="1" x14ac:dyDescent="0.25">
      <c r="A14" s="122">
        <v>7</v>
      </c>
      <c r="B14" s="70">
        <f>IF($D$1="SAC",-'Price x SAC x SACRE'!G13,IF('Base dinâmica'!$D$1="Price",-'Price x SAC x SACRE'!B13,IF('Base dinâmica'!$D$1="sacre",-'Price x SAC x SACRE'!L13,0)))</f>
        <v>-4100.9182743504371</v>
      </c>
      <c r="C14" s="70">
        <f>IF($D$1="SAC",-'Price x SAC x SACRE'!H13,IF('Base dinâmica'!$D$1="Price",-'Price x SAC x SACRE'!C13,IF('Base dinâmica'!$D$1="sacre",-'Price x SAC x SACRE'!M13,0)))</f>
        <v>-144.86032182784842</v>
      </c>
      <c r="D14" s="70">
        <f>IF($D$1="SAC",-'Price x SAC x SACRE'!I13,IF('Base dinâmica'!$D$1="Price",-'Price x SAC x SACRE'!D13,IF('Base dinâmica'!$D$1="sacre",-'Price x SAC x SACRE'!N13,0)))</f>
        <v>-3956.0579525225889</v>
      </c>
      <c r="E14" s="70">
        <f>IF($D$1="SAC",-'Price x SAC x SACRE'!J13,IF('Base dinâmica'!$D$1="Price",-'Price x SAC x SACRE'!E13,IF('Base dinâmica'!$D$1="sacre",-'Price x SAC x SACRE'!O13,0)))</f>
        <v>-416774.12819400965</v>
      </c>
      <c r="F14" s="70">
        <f t="shared" si="0"/>
        <v>10444</v>
      </c>
      <c r="G14" s="70">
        <f>-(Dashboard!$B$32*Dashboard!$B$9)*$A$2</f>
        <v>-403</v>
      </c>
      <c r="H14" s="70">
        <f>-(Dashboard!$B$33*Dashboard!$B$9)*$A$2</f>
        <v>-238.70000000000002</v>
      </c>
      <c r="I14" s="70">
        <f t="shared" si="2"/>
        <v>9802.2999999999993</v>
      </c>
      <c r="J14" s="123">
        <f t="shared" si="3"/>
        <v>4.0741237836483535E-3</v>
      </c>
      <c r="K14" s="123">
        <f t="shared" si="6"/>
        <v>2.8869811178507288E-2</v>
      </c>
      <c r="L14" s="124">
        <f t="shared" si="1"/>
        <v>0.1075</v>
      </c>
      <c r="M14" s="125">
        <f>+Dashboard!$B$36</f>
        <v>1</v>
      </c>
      <c r="N14" s="160">
        <f t="shared" si="4"/>
        <v>8.5450710394860963E-3</v>
      </c>
      <c r="O14" s="70">
        <f t="shared" si="7"/>
        <v>40947.460846263974</v>
      </c>
      <c r="Q14" s="164">
        <f t="shared" si="5"/>
        <v>5701.3817256495622</v>
      </c>
    </row>
    <row r="15" spans="1:18" outlineLevel="1" x14ac:dyDescent="0.25">
      <c r="A15" s="122">
        <v>8</v>
      </c>
      <c r="B15" s="70">
        <f>IF($D$1="SAC",-'Price x SAC x SACRE'!G14,IF('Base dinâmica'!$D$1="Price",-'Price x SAC x SACRE'!B14,IF('Base dinâmica'!$D$1="sacre",-'Price x SAC x SACRE'!L14,0)))</f>
        <v>-4100.9182743504371</v>
      </c>
      <c r="C15" s="70">
        <f>IF($D$1="SAC",-'Price x SAC x SACRE'!H14,IF('Base dinâmica'!$D$1="Price",-'Price x SAC x SACRE'!C14,IF('Base dinâmica'!$D$1="sacre",-'Price x SAC x SACRE'!M14,0)))</f>
        <v>-146.23487142610998</v>
      </c>
      <c r="D15" s="70">
        <f>IF($D$1="SAC",-'Price x SAC x SACRE'!I14,IF('Base dinâmica'!$D$1="Price",-'Price x SAC x SACRE'!D14,IF('Base dinâmica'!$D$1="sacre",-'Price x SAC x SACRE'!N14,0)))</f>
        <v>-3954.6834029243273</v>
      </c>
      <c r="E15" s="70">
        <f>IF($D$1="SAC",-'Price x SAC x SACRE'!J14,IF('Base dinâmica'!$D$1="Price",-'Price x SAC x SACRE'!E14,IF('Base dinâmica'!$D$1="sacre",-'Price x SAC x SACRE'!O14,0)))</f>
        <v>-416627.89332258352</v>
      </c>
      <c r="F15" s="70">
        <f t="shared" si="0"/>
        <v>10444</v>
      </c>
      <c r="G15" s="70">
        <f>-(Dashboard!$B$32*Dashboard!$B$9)*$A$2</f>
        <v>-403</v>
      </c>
      <c r="H15" s="70">
        <f>-(Dashboard!$B$33*Dashboard!$B$9)*$A$2</f>
        <v>-238.70000000000002</v>
      </c>
      <c r="I15" s="70">
        <f t="shared" si="2"/>
        <v>9802.2999999999993</v>
      </c>
      <c r="J15" s="123">
        <f t="shared" si="3"/>
        <v>4.0741237836483535E-3</v>
      </c>
      <c r="K15" s="123">
        <f t="shared" si="6"/>
        <v>3.3061554146507355E-2</v>
      </c>
      <c r="L15" s="124">
        <f t="shared" si="1"/>
        <v>0.1075</v>
      </c>
      <c r="M15" s="125">
        <f>+Dashboard!$B$36</f>
        <v>1</v>
      </c>
      <c r="N15" s="160">
        <f t="shared" si="4"/>
        <v>8.5450710394860963E-3</v>
      </c>
      <c r="O15" s="70">
        <f t="shared" si="7"/>
        <v>46998.741533731445</v>
      </c>
      <c r="Q15" s="164">
        <f t="shared" si="5"/>
        <v>5701.3817256495622</v>
      </c>
    </row>
    <row r="16" spans="1:18" outlineLevel="1" x14ac:dyDescent="0.25">
      <c r="A16" s="122">
        <v>9</v>
      </c>
      <c r="B16" s="70">
        <f>IF($D$1="SAC",-'Price x SAC x SACRE'!G15,IF('Base dinâmica'!$D$1="Price",-'Price x SAC x SACRE'!B15,IF('Base dinâmica'!$D$1="sacre",-'Price x SAC x SACRE'!L15,0)))</f>
        <v>-4100.9182743504371</v>
      </c>
      <c r="C16" s="70">
        <f>IF($D$1="SAC",-'Price x SAC x SACRE'!H15,IF('Base dinâmica'!$D$1="Price",-'Price x SAC x SACRE'!C15,IF('Base dinâmica'!$D$1="sacre",-'Price x SAC x SACRE'!M15,0)))</f>
        <v>-147.62246384088769</v>
      </c>
      <c r="D16" s="70">
        <f>IF($D$1="SAC",-'Price x SAC x SACRE'!I15,IF('Base dinâmica'!$D$1="Price",-'Price x SAC x SACRE'!D15,IF('Base dinâmica'!$D$1="sacre",-'Price x SAC x SACRE'!N15,0)))</f>
        <v>-3953.2958105095495</v>
      </c>
      <c r="E16" s="70">
        <f>IF($D$1="SAC",-'Price x SAC x SACRE'!J15,IF('Base dinâmica'!$D$1="Price",-'Price x SAC x SACRE'!E15,IF('Base dinâmica'!$D$1="sacre",-'Price x SAC x SACRE'!O15,0)))</f>
        <v>-416480.27085874265</v>
      </c>
      <c r="F16" s="70">
        <f t="shared" si="0"/>
        <v>10444</v>
      </c>
      <c r="G16" s="70">
        <f>-(Dashboard!$B$32*Dashboard!$B$9)*$A$2</f>
        <v>-403</v>
      </c>
      <c r="H16" s="70">
        <f>-(Dashboard!$B$33*Dashboard!$B$9)*$A$2</f>
        <v>-238.70000000000002</v>
      </c>
      <c r="I16" s="70">
        <f t="shared" si="2"/>
        <v>9802.2999999999993</v>
      </c>
      <c r="J16" s="123">
        <f t="shared" si="3"/>
        <v>4.0741237836483535E-3</v>
      </c>
      <c r="K16" s="123">
        <f t="shared" si="6"/>
        <v>3.7270374794228456E-2</v>
      </c>
      <c r="L16" s="124">
        <f t="shared" si="1"/>
        <v>0.1075</v>
      </c>
      <c r="M16" s="125">
        <f>+Dashboard!$B$36</f>
        <v>1</v>
      </c>
      <c r="N16" s="160">
        <f t="shared" si="4"/>
        <v>8.5450710394860963E-3</v>
      </c>
      <c r="O16" s="70">
        <f t="shared" si="7"/>
        <v>53101.730844553196</v>
      </c>
      <c r="Q16" s="164">
        <f t="shared" si="5"/>
        <v>5701.3817256495622</v>
      </c>
    </row>
    <row r="17" spans="1:18" outlineLevel="1" x14ac:dyDescent="0.25">
      <c r="A17" s="122">
        <v>10</v>
      </c>
      <c r="B17" s="70">
        <f>IF($D$1="SAC",-'Price x SAC x SACRE'!G16,IF('Base dinâmica'!$D$1="Price",-'Price x SAC x SACRE'!B16,IF('Base dinâmica'!$D$1="sacre",-'Price x SAC x SACRE'!L16,0)))</f>
        <v>-4100.9182743504371</v>
      </c>
      <c r="C17" s="70">
        <f>IF($D$1="SAC",-'Price x SAC x SACRE'!H16,IF('Base dinâmica'!$D$1="Price",-'Price x SAC x SACRE'!C16,IF('Base dinâmica'!$D$1="sacre",-'Price x SAC x SACRE'!M16,0)))</f>
        <v>-149.02322283276686</v>
      </c>
      <c r="D17" s="70">
        <f>IF($D$1="SAC",-'Price x SAC x SACRE'!I16,IF('Base dinâmica'!$D$1="Price",-'Price x SAC x SACRE'!D16,IF('Base dinâmica'!$D$1="sacre",-'Price x SAC x SACRE'!N16,0)))</f>
        <v>-3951.8950515176703</v>
      </c>
      <c r="E17" s="70">
        <f>IF($D$1="SAC",-'Price x SAC x SACRE'!J16,IF('Base dinâmica'!$D$1="Price",-'Price x SAC x SACRE'!E16,IF('Base dinâmica'!$D$1="sacre",-'Price x SAC x SACRE'!O16,0)))</f>
        <v>-416331.24763590988</v>
      </c>
      <c r="F17" s="70">
        <f t="shared" si="0"/>
        <v>10444</v>
      </c>
      <c r="G17" s="70">
        <f>-(Dashboard!$B$32*Dashboard!$B$9)*$A$2</f>
        <v>-403</v>
      </c>
      <c r="H17" s="70">
        <f>-(Dashboard!$B$33*Dashboard!$B$9)*$A$2</f>
        <v>-238.70000000000002</v>
      </c>
      <c r="I17" s="70">
        <f t="shared" si="2"/>
        <v>9802.2999999999993</v>
      </c>
      <c r="J17" s="123">
        <f t="shared" si="3"/>
        <v>4.0741237836483535E-3</v>
      </c>
      <c r="K17" s="123">
        <f t="shared" si="6"/>
        <v>4.1496342698251532E-2</v>
      </c>
      <c r="L17" s="124">
        <f t="shared" si="1"/>
        <v>0.1075</v>
      </c>
      <c r="M17" s="125">
        <f>+Dashboard!$B$36</f>
        <v>1</v>
      </c>
      <c r="N17" s="160">
        <f t="shared" si="4"/>
        <v>8.5450710394860963E-3</v>
      </c>
      <c r="O17" s="70">
        <f t="shared" si="7"/>
        <v>59256.87063258914</v>
      </c>
      <c r="Q17" s="164">
        <f t="shared" si="5"/>
        <v>5701.3817256495622</v>
      </c>
    </row>
    <row r="18" spans="1:18" outlineLevel="1" x14ac:dyDescent="0.25">
      <c r="A18" s="122">
        <v>11</v>
      </c>
      <c r="B18" s="70">
        <f>IF($D$1="SAC",-'Price x SAC x SACRE'!G17,IF('Base dinâmica'!$D$1="Price",-'Price x SAC x SACRE'!B17,IF('Base dinâmica'!$D$1="sacre",-'Price x SAC x SACRE'!L17,0)))</f>
        <v>-4100.9182743504371</v>
      </c>
      <c r="C18" s="70">
        <f>IF($D$1="SAC",-'Price x SAC x SACRE'!H17,IF('Base dinâmica'!$D$1="Price",-'Price x SAC x SACRE'!C17,IF('Base dinâmica'!$D$1="sacre",-'Price x SAC x SACRE'!M17,0)))</f>
        <v>-150.43727333667121</v>
      </c>
      <c r="D18" s="70">
        <f>IF($D$1="SAC",-'Price x SAC x SACRE'!I17,IF('Base dinâmica'!$D$1="Price",-'Price x SAC x SACRE'!D17,IF('Base dinâmica'!$D$1="sacre",-'Price x SAC x SACRE'!N17,0)))</f>
        <v>-3950.4810010137662</v>
      </c>
      <c r="E18" s="70">
        <f>IF($D$1="SAC",-'Price x SAC x SACRE'!J17,IF('Base dinâmica'!$D$1="Price",-'Price x SAC x SACRE'!E17,IF('Base dinâmica'!$D$1="sacre",-'Price x SAC x SACRE'!O17,0)))</f>
        <v>-416180.81036257319</v>
      </c>
      <c r="F18" s="70">
        <f t="shared" si="0"/>
        <v>10444</v>
      </c>
      <c r="G18" s="70">
        <f>-(Dashboard!$B$32*Dashboard!$B$9)*$A$2</f>
        <v>-403</v>
      </c>
      <c r="H18" s="70">
        <v>0</v>
      </c>
      <c r="I18" s="70">
        <f t="shared" si="2"/>
        <v>10041</v>
      </c>
      <c r="J18" s="123">
        <f t="shared" si="3"/>
        <v>4.0741237836483535E-3</v>
      </c>
      <c r="K18" s="123">
        <f t="shared" si="6"/>
        <v>4.573952771862122E-2</v>
      </c>
      <c r="L18" s="124">
        <f t="shared" si="1"/>
        <v>0.1075</v>
      </c>
      <c r="M18" s="125">
        <f>+Dashboard!$B$36</f>
        <v>1</v>
      </c>
      <c r="N18" s="160">
        <f t="shared" si="4"/>
        <v>8.5450710394860963E-3</v>
      </c>
      <c r="O18" s="70">
        <f t="shared" si="7"/>
        <v>65703.306527371809</v>
      </c>
      <c r="Q18" s="164">
        <f t="shared" si="5"/>
        <v>5940.0817256495629</v>
      </c>
    </row>
    <row r="19" spans="1:18" s="53" customFormat="1" x14ac:dyDescent="0.25">
      <c r="A19" s="68">
        <v>12</v>
      </c>
      <c r="B19" s="64">
        <f>IF($D$1="SAC",-'Price x SAC x SACRE'!G18,IF('Base dinâmica'!$D$1="Price",-'Price x SAC x SACRE'!B18,IF('Base dinâmica'!$D$1="sacre",-'Price x SAC x SACRE'!L18,0)))</f>
        <v>-4100.9182743504371</v>
      </c>
      <c r="C19" s="64">
        <f>IF($D$1="SAC",-'Price x SAC x SACRE'!H18,IF('Base dinâmica'!$D$1="Price",-'Price x SAC x SACRE'!C18,IF('Base dinâmica'!$D$1="sacre",-'Price x SAC x SACRE'!M18,0)))</f>
        <v>-151.86474147300615</v>
      </c>
      <c r="D19" s="64">
        <f>IF($D$1="SAC",-'Price x SAC x SACRE'!I18,IF('Base dinâmica'!$D$1="Price",-'Price x SAC x SACRE'!D18,IF('Base dinâmica'!$D$1="sacre",-'Price x SAC x SACRE'!N18,0)))</f>
        <v>-3949.0535328774308</v>
      </c>
      <c r="E19" s="64">
        <f>IF($D$1="SAC",-'Price x SAC x SACRE'!J18,IF('Base dinâmica'!$D$1="Price",-'Price x SAC x SACRE'!E18,IF('Base dinâmica'!$D$1="sacre",-'Price x SAC x SACRE'!O18,0)))</f>
        <v>-416028.9456211002</v>
      </c>
      <c r="F19" s="64">
        <f t="shared" si="0"/>
        <v>10444</v>
      </c>
      <c r="G19" s="64">
        <f>-(Dashboard!$B$32*Dashboard!$B$9)*$A$2</f>
        <v>-403</v>
      </c>
      <c r="H19" s="64">
        <v>0</v>
      </c>
      <c r="I19" s="64">
        <f t="shared" si="2"/>
        <v>10041</v>
      </c>
      <c r="J19" s="119">
        <f t="shared" si="3"/>
        <v>4.0741237836483535E-3</v>
      </c>
      <c r="K19" s="119">
        <f t="shared" si="6"/>
        <v>5.0000000000000933E-2</v>
      </c>
      <c r="L19" s="120">
        <f t="shared" si="1"/>
        <v>0.1075</v>
      </c>
      <c r="M19" s="121">
        <f>+Dashboard!$B$36</f>
        <v>1</v>
      </c>
      <c r="N19" s="160">
        <f t="shared" si="4"/>
        <v>8.5450710394860963E-3</v>
      </c>
      <c r="O19" s="64">
        <f t="shared" si="7"/>
        <v>72204.827674826898</v>
      </c>
      <c r="Q19" s="164">
        <f>+B19+I19</f>
        <v>5940.0817256495629</v>
      </c>
      <c r="R19" s="53">
        <f>(+O18)*(((((1+L19)^(1/12))-1)*(M19))+1)</f>
        <v>66264.745949177333</v>
      </c>
    </row>
    <row r="20" spans="1:18" outlineLevel="1" x14ac:dyDescent="0.25">
      <c r="A20" s="122">
        <v>13</v>
      </c>
      <c r="B20" s="70">
        <f>IF($D$1="SAC",-'Price x SAC x SACRE'!G19,IF('Base dinâmica'!$D$1="Price",-'Price x SAC x SACRE'!B19,IF('Base dinâmica'!$D$1="sacre",-'Price x SAC x SACRE'!L19,0)))</f>
        <v>-4100.9182743504371</v>
      </c>
      <c r="C20" s="70">
        <f>IF($D$1="SAC",-'Price x SAC x SACRE'!H19,IF('Base dinâmica'!$D$1="Price",-'Price x SAC x SACRE'!C19,IF('Base dinâmica'!$D$1="sacre",-'Price x SAC x SACRE'!M19,0)))</f>
        <v>-153.30575455890747</v>
      </c>
      <c r="D20" s="70">
        <f>IF($D$1="SAC",-'Price x SAC x SACRE'!I19,IF('Base dinâmica'!$D$1="Price",-'Price x SAC x SACRE'!D19,IF('Base dinâmica'!$D$1="sacre",-'Price x SAC x SACRE'!N19,0)))</f>
        <v>-3947.6125197915298</v>
      </c>
      <c r="E20" s="70">
        <f>IF($D$1="SAC",-'Price x SAC x SACRE'!J19,IF('Base dinâmica'!$D$1="Price",-'Price x SAC x SACRE'!E19,IF('Base dinâmica'!$D$1="sacre",-'Price x SAC x SACRE'!O19,0)))</f>
        <v>-415875.63986654131</v>
      </c>
      <c r="F20" s="70">
        <f>+F19*(1+K19)</f>
        <v>10966.20000000001</v>
      </c>
      <c r="G20" s="70">
        <f>+G19*(1+K19)</f>
        <v>-423.15000000000038</v>
      </c>
      <c r="H20" s="70">
        <f>+H17*(1+K19)</f>
        <v>-250.63500000000025</v>
      </c>
      <c r="I20" s="70">
        <f t="shared" si="2"/>
        <v>10292.41500000001</v>
      </c>
      <c r="J20" s="123">
        <f t="shared" si="3"/>
        <v>4.0741237836483535E-3</v>
      </c>
      <c r="K20" s="123">
        <f>+J20</f>
        <v>4.0741237836483535E-3</v>
      </c>
      <c r="L20" s="124">
        <f t="shared" si="1"/>
        <v>0.1075</v>
      </c>
      <c r="M20" s="125">
        <f>+Dashboard!$B$36</f>
        <v>1</v>
      </c>
      <c r="N20" s="160">
        <f t="shared" si="4"/>
        <v>8.5450710394860963E-3</v>
      </c>
      <c r="O20" s="70">
        <f t="shared" si="7"/>
        <v>79013.319782351726</v>
      </c>
      <c r="Q20" s="164">
        <f t="shared" si="5"/>
        <v>6191.4967256495729</v>
      </c>
    </row>
    <row r="21" spans="1:18" outlineLevel="1" x14ac:dyDescent="0.25">
      <c r="A21" s="122">
        <v>14</v>
      </c>
      <c r="B21" s="70">
        <f>IF($D$1="SAC",-'Price x SAC x SACRE'!G20,IF('Base dinâmica'!$D$1="Price",-'Price x SAC x SACRE'!B20,IF('Base dinâmica'!$D$1="sacre",-'Price x SAC x SACRE'!L20,0)))</f>
        <v>-4100.9182743504371</v>
      </c>
      <c r="C21" s="70">
        <f>IF($D$1="SAC",-'Price x SAC x SACRE'!H20,IF('Base dinâmica'!$D$1="Price",-'Price x SAC x SACRE'!C20,IF('Base dinâmica'!$D$1="sacre",-'Price x SAC x SACRE'!M20,0)))</f>
        <v>-154.76044111959695</v>
      </c>
      <c r="D21" s="70">
        <f>IF($D$1="SAC",-'Price x SAC x SACRE'!I20,IF('Base dinâmica'!$D$1="Price",-'Price x SAC x SACRE'!D20,IF('Base dinâmica'!$D$1="sacre",-'Price x SAC x SACRE'!N20,0)))</f>
        <v>-3946.1578332308404</v>
      </c>
      <c r="E21" s="70">
        <f>IF($D$1="SAC",-'Price x SAC x SACRE'!J20,IF('Base dinâmica'!$D$1="Price",-'Price x SAC x SACRE'!E20,IF('Base dinâmica'!$D$1="sacre",-'Price x SAC x SACRE'!O20,0)))</f>
        <v>-415720.87942542171</v>
      </c>
      <c r="F21" s="70">
        <f>+F20</f>
        <v>10966.20000000001</v>
      </c>
      <c r="G21" s="70">
        <f>+G20</f>
        <v>-423.15000000000038</v>
      </c>
      <c r="H21" s="70">
        <f>+H20</f>
        <v>-250.63500000000025</v>
      </c>
      <c r="I21" s="70">
        <f t="shared" si="2"/>
        <v>10292.41500000001</v>
      </c>
      <c r="J21" s="123">
        <f t="shared" si="3"/>
        <v>4.0741237836483535E-3</v>
      </c>
      <c r="K21" s="123">
        <f>((+K20+1)*(J21+1))-1</f>
        <v>8.1648460519012644E-3</v>
      </c>
      <c r="L21" s="124">
        <f t="shared" si="1"/>
        <v>0.1075</v>
      </c>
      <c r="M21" s="125">
        <f>+Dashboard!$B$36</f>
        <v>1</v>
      </c>
      <c r="N21" s="160">
        <f t="shared" si="4"/>
        <v>8.5450710394860963E-3</v>
      </c>
      <c r="O21" s="70">
        <f t="shared" si="7"/>
        <v>85879.990938607123</v>
      </c>
      <c r="Q21" s="164">
        <f t="shared" si="5"/>
        <v>6191.4967256495729</v>
      </c>
    </row>
    <row r="22" spans="1:18" outlineLevel="1" x14ac:dyDescent="0.25">
      <c r="A22" s="122">
        <v>15</v>
      </c>
      <c r="B22" s="70">
        <f>IF($D$1="SAC",-'Price x SAC x SACRE'!G21,IF('Base dinâmica'!$D$1="Price",-'Price x SAC x SACRE'!B21,IF('Base dinâmica'!$D$1="sacre",-'Price x SAC x SACRE'!L21,0)))</f>
        <v>-4100.9182743504371</v>
      </c>
      <c r="C22" s="70">
        <f>IF($D$1="SAC",-'Price x SAC x SACRE'!H21,IF('Base dinâmica'!$D$1="Price",-'Price x SAC x SACRE'!C21,IF('Base dinâmica'!$D$1="sacre",-'Price x SAC x SACRE'!M21,0)))</f>
        <v>-156.22893089984558</v>
      </c>
      <c r="D22" s="70">
        <f>IF($D$1="SAC",-'Price x SAC x SACRE'!I21,IF('Base dinâmica'!$D$1="Price",-'Price x SAC x SACRE'!D21,IF('Base dinâmica'!$D$1="sacre",-'Price x SAC x SACRE'!N21,0)))</f>
        <v>-3944.6893434505919</v>
      </c>
      <c r="E22" s="70">
        <f>IF($D$1="SAC",-'Price x SAC x SACRE'!J21,IF('Base dinâmica'!$D$1="Price",-'Price x SAC x SACRE'!E21,IF('Base dinâmica'!$D$1="sacre",-'Price x SAC x SACRE'!O21,0)))</f>
        <v>-415564.65049452183</v>
      </c>
      <c r="F22" s="70">
        <f t="shared" ref="F22:F30" si="8">+F21</f>
        <v>10966.20000000001</v>
      </c>
      <c r="G22" s="70">
        <f t="shared" ref="G22:G30" si="9">+G21</f>
        <v>-423.15000000000038</v>
      </c>
      <c r="H22" s="70">
        <f t="shared" ref="H22:H29" si="10">+H21</f>
        <v>-250.63500000000025</v>
      </c>
      <c r="I22" s="70">
        <f t="shared" si="2"/>
        <v>10292.41500000001</v>
      </c>
      <c r="J22" s="123">
        <f t="shared" si="3"/>
        <v>4.0741237836483535E-3</v>
      </c>
      <c r="K22" s="123">
        <f t="shared" ref="K22:K31" si="11">((+K21+1)*(J22+1))-1</f>
        <v>1.2272234429039575E-2</v>
      </c>
      <c r="L22" s="124">
        <f t="shared" si="1"/>
        <v>0.1075</v>
      </c>
      <c r="M22" s="125">
        <f>+Dashboard!$B$36</f>
        <v>1</v>
      </c>
      <c r="N22" s="160">
        <f t="shared" si="4"/>
        <v>8.5450710394860963E-3</v>
      </c>
      <c r="O22" s="70">
        <f t="shared" si="7"/>
        <v>92805.338287697523</v>
      </c>
      <c r="Q22" s="164">
        <f t="shared" si="5"/>
        <v>6191.4967256495729</v>
      </c>
    </row>
    <row r="23" spans="1:18" outlineLevel="1" x14ac:dyDescent="0.25">
      <c r="A23" s="122">
        <v>16</v>
      </c>
      <c r="B23" s="70">
        <f>IF($D$1="SAC",-'Price x SAC x SACRE'!G22,IF('Base dinâmica'!$D$1="Price",-'Price x SAC x SACRE'!B22,IF('Base dinâmica'!$D$1="sacre",-'Price x SAC x SACRE'!L22,0)))</f>
        <v>-4100.9182743504371</v>
      </c>
      <c r="C23" s="70">
        <f>IF($D$1="SAC",-'Price x SAC x SACRE'!H22,IF('Base dinâmica'!$D$1="Price",-'Price x SAC x SACRE'!C22,IF('Base dinâmica'!$D$1="sacre",-'Price x SAC x SACRE'!M22,0)))</f>
        <v>-157.71135487554548</v>
      </c>
      <c r="D23" s="70">
        <f>IF($D$1="SAC",-'Price x SAC x SACRE'!I22,IF('Base dinâmica'!$D$1="Price",-'Price x SAC x SACRE'!D22,IF('Base dinâmica'!$D$1="sacre",-'Price x SAC x SACRE'!N22,0)))</f>
        <v>-3943.2069194748915</v>
      </c>
      <c r="E23" s="70">
        <f>IF($D$1="SAC",-'Price x SAC x SACRE'!J22,IF('Base dinâmica'!$D$1="Price",-'Price x SAC x SACRE'!E22,IF('Base dinâmica'!$D$1="sacre",-'Price x SAC x SACRE'!O22,0)))</f>
        <v>-415406.9391396463</v>
      </c>
      <c r="F23" s="70">
        <f t="shared" si="8"/>
        <v>10966.20000000001</v>
      </c>
      <c r="G23" s="70">
        <f t="shared" si="9"/>
        <v>-423.15000000000038</v>
      </c>
      <c r="H23" s="70">
        <f t="shared" si="10"/>
        <v>-250.63500000000025</v>
      </c>
      <c r="I23" s="70">
        <f t="shared" si="2"/>
        <v>10292.41500000001</v>
      </c>
      <c r="J23" s="123">
        <f t="shared" si="3"/>
        <v>4.0741237836483535E-3</v>
      </c>
      <c r="K23" s="123">
        <f t="shared" si="11"/>
        <v>1.6396356814853741E-2</v>
      </c>
      <c r="L23" s="124">
        <f t="shared" si="1"/>
        <v>0.1075</v>
      </c>
      <c r="M23" s="125">
        <f>+Dashboard!$B$36</f>
        <v>1</v>
      </c>
      <c r="N23" s="160">
        <f t="shared" si="4"/>
        <v>8.5450710394860963E-3</v>
      </c>
      <c r="O23" s="70">
        <f t="shared" si="7"/>
        <v>99789.863221859006</v>
      </c>
    </row>
    <row r="24" spans="1:18" outlineLevel="1" x14ac:dyDescent="0.25">
      <c r="A24" s="122">
        <v>17</v>
      </c>
      <c r="B24" s="70">
        <f>IF($D$1="SAC",-'Price x SAC x SACRE'!G23,IF('Base dinâmica'!$D$1="Price",-'Price x SAC x SACRE'!B23,IF('Base dinâmica'!$D$1="sacre",-'Price x SAC x SACRE'!L23,0)))</f>
        <v>-4100.9182743504371</v>
      </c>
      <c r="C24" s="70">
        <f>IF($D$1="SAC",-'Price x SAC x SACRE'!H23,IF('Base dinâmica'!$D$1="Price",-'Price x SAC x SACRE'!C23,IF('Base dinâmica'!$D$1="sacre",-'Price x SAC x SACRE'!M23,0)))</f>
        <v>-159.20784526539208</v>
      </c>
      <c r="D24" s="70">
        <f>IF($D$1="SAC",-'Price x SAC x SACRE'!I23,IF('Base dinâmica'!$D$1="Price",-'Price x SAC x SACRE'!D23,IF('Base dinâmica'!$D$1="sacre",-'Price x SAC x SACRE'!N23,0)))</f>
        <v>-3941.7104290850452</v>
      </c>
      <c r="E24" s="70">
        <f>IF($D$1="SAC",-'Price x SAC x SACRE'!J23,IF('Base dinâmica'!$D$1="Price",-'Price x SAC x SACRE'!E23,IF('Base dinâmica'!$D$1="sacre",-'Price x SAC x SACRE'!O23,0)))</f>
        <v>-415247.73129438091</v>
      </c>
      <c r="F24" s="70">
        <f t="shared" si="8"/>
        <v>10966.20000000001</v>
      </c>
      <c r="G24" s="70">
        <f t="shared" si="9"/>
        <v>-423.15000000000038</v>
      </c>
      <c r="H24" s="70">
        <f t="shared" si="10"/>
        <v>-250.63500000000025</v>
      </c>
      <c r="I24" s="70">
        <f t="shared" si="2"/>
        <v>10292.41500000001</v>
      </c>
      <c r="J24" s="123">
        <f t="shared" si="3"/>
        <v>4.0741237836483535E-3</v>
      </c>
      <c r="K24" s="123">
        <f t="shared" si="11"/>
        <v>2.0537281385766715E-2</v>
      </c>
      <c r="L24" s="124">
        <f t="shared" si="1"/>
        <v>0.1075</v>
      </c>
      <c r="M24" s="125">
        <f>+Dashboard!$B$36</f>
        <v>1</v>
      </c>
      <c r="N24" s="160">
        <f t="shared" si="4"/>
        <v>8.5450710394860963E-3</v>
      </c>
      <c r="O24" s="70">
        <f t="shared" si="7"/>
        <v>106834.07141775996</v>
      </c>
    </row>
    <row r="25" spans="1:18" outlineLevel="1" x14ac:dyDescent="0.25">
      <c r="A25" s="122">
        <v>18</v>
      </c>
      <c r="B25" s="70">
        <f>IF($D$1="SAC",-'Price x SAC x SACRE'!G24,IF('Base dinâmica'!$D$1="Price",-'Price x SAC x SACRE'!B24,IF('Base dinâmica'!$D$1="sacre",-'Price x SAC x SACRE'!L24,0)))</f>
        <v>-4100.9182743504371</v>
      </c>
      <c r="C25" s="70">
        <f>IF($D$1="SAC",-'Price x SAC x SACRE'!H24,IF('Base dinâmica'!$D$1="Price",-'Price x SAC x SACRE'!C24,IF('Base dinâmica'!$D$1="sacre",-'Price x SAC x SACRE'!M24,0)))</f>
        <v>-160.71853554267651</v>
      </c>
      <c r="D25" s="70">
        <f>IF($D$1="SAC",-'Price x SAC x SACRE'!I24,IF('Base dinâmica'!$D$1="Price",-'Price x SAC x SACRE'!D24,IF('Base dinâmica'!$D$1="sacre",-'Price x SAC x SACRE'!N24,0)))</f>
        <v>-3940.1997388077607</v>
      </c>
      <c r="E25" s="70">
        <f>IF($D$1="SAC",-'Price x SAC x SACRE'!J24,IF('Base dinâmica'!$D$1="Price",-'Price x SAC x SACRE'!E24,IF('Base dinâmica'!$D$1="sacre",-'Price x SAC x SACRE'!O24,0)))</f>
        <v>-415087.01275883825</v>
      </c>
      <c r="F25" s="70">
        <f t="shared" si="8"/>
        <v>10966.20000000001</v>
      </c>
      <c r="G25" s="70">
        <f t="shared" si="9"/>
        <v>-423.15000000000038</v>
      </c>
      <c r="H25" s="70">
        <f t="shared" si="10"/>
        <v>-250.63500000000025</v>
      </c>
      <c r="I25" s="70">
        <f t="shared" si="2"/>
        <v>10292.41500000001</v>
      </c>
      <c r="J25" s="123">
        <f t="shared" si="3"/>
        <v>4.0741237836483535E-3</v>
      </c>
      <c r="K25" s="123">
        <f t="shared" si="11"/>
        <v>2.4695076595960375E-2</v>
      </c>
      <c r="L25" s="124">
        <f t="shared" si="1"/>
        <v>0.1075</v>
      </c>
      <c r="M25" s="125">
        <f>+Dashboard!$B$36</f>
        <v>1</v>
      </c>
      <c r="N25" s="160">
        <f t="shared" si="4"/>
        <v>8.5450710394860963E-3</v>
      </c>
      <c r="O25" s="70">
        <f t="shared" si="7"/>
        <v>113938.47287311182</v>
      </c>
    </row>
    <row r="26" spans="1:18" outlineLevel="1" x14ac:dyDescent="0.25">
      <c r="A26" s="122">
        <v>19</v>
      </c>
      <c r="B26" s="70">
        <f>IF($D$1="SAC",-'Price x SAC x SACRE'!G25,IF('Base dinâmica'!$D$1="Price",-'Price x SAC x SACRE'!B25,IF('Base dinâmica'!$D$1="sacre",-'Price x SAC x SACRE'!L25,0)))</f>
        <v>-4100.9182743504371</v>
      </c>
      <c r="C26" s="70">
        <f>IF($D$1="SAC",-'Price x SAC x SACRE'!H25,IF('Base dinâmica'!$D$1="Price",-'Price x SAC x SACRE'!C25,IF('Base dinâmica'!$D$1="sacre",-'Price x SAC x SACRE'!M25,0)))</f>
        <v>-162.24356044719036</v>
      </c>
      <c r="D26" s="70">
        <f>IF($D$1="SAC",-'Price x SAC x SACRE'!I25,IF('Base dinâmica'!$D$1="Price",-'Price x SAC x SACRE'!D25,IF('Base dinâmica'!$D$1="sacre",-'Price x SAC x SACRE'!N25,0)))</f>
        <v>-3938.6747139032468</v>
      </c>
      <c r="E26" s="70">
        <f>IF($D$1="SAC",-'Price x SAC x SACRE'!J25,IF('Base dinâmica'!$D$1="Price",-'Price x SAC x SACRE'!E25,IF('Base dinâmica'!$D$1="sacre",-'Price x SAC x SACRE'!O25,0)))</f>
        <v>-414924.76919839106</v>
      </c>
      <c r="F26" s="70">
        <f t="shared" si="8"/>
        <v>10966.20000000001</v>
      </c>
      <c r="G26" s="70">
        <f t="shared" si="9"/>
        <v>-423.15000000000038</v>
      </c>
      <c r="H26" s="70">
        <f t="shared" si="10"/>
        <v>-250.63500000000025</v>
      </c>
      <c r="I26" s="70">
        <f t="shared" si="2"/>
        <v>10292.41500000001</v>
      </c>
      <c r="J26" s="123">
        <f t="shared" si="3"/>
        <v>4.0741237836483535E-3</v>
      </c>
      <c r="K26" s="123">
        <f t="shared" si="11"/>
        <v>2.8869811178507288E-2</v>
      </c>
      <c r="L26" s="124">
        <f t="shared" si="1"/>
        <v>0.1075</v>
      </c>
      <c r="M26" s="125">
        <f>+Dashboard!$B$36</f>
        <v>1</v>
      </c>
      <c r="N26" s="160">
        <f t="shared" si="4"/>
        <v>8.5450710394860963E-3</v>
      </c>
      <c r="O26" s="70">
        <f t="shared" si="7"/>
        <v>121103.5819435927</v>
      </c>
    </row>
    <row r="27" spans="1:18" outlineLevel="1" x14ac:dyDescent="0.25">
      <c r="A27" s="122">
        <v>20</v>
      </c>
      <c r="B27" s="70">
        <f>IF($D$1="SAC",-'Price x SAC x SACRE'!G26,IF('Base dinâmica'!$D$1="Price",-'Price x SAC x SACRE'!B26,IF('Base dinâmica'!$D$1="sacre",-'Price x SAC x SACRE'!L26,0)))</f>
        <v>-4100.9182743504371</v>
      </c>
      <c r="C27" s="70">
        <f>IF($D$1="SAC",-'Price x SAC x SACRE'!H26,IF('Base dinâmica'!$D$1="Price",-'Price x SAC x SACRE'!C26,IF('Base dinâmica'!$D$1="sacre",-'Price x SAC x SACRE'!M26,0)))</f>
        <v>-163.78305599724325</v>
      </c>
      <c r="D27" s="70">
        <f>IF($D$1="SAC",-'Price x SAC x SACRE'!I26,IF('Base dinâmica'!$D$1="Price",-'Price x SAC x SACRE'!D26,IF('Base dinâmica'!$D$1="sacre",-'Price x SAC x SACRE'!N26,0)))</f>
        <v>-3937.135218353194</v>
      </c>
      <c r="E27" s="70">
        <f>IF($D$1="SAC",-'Price x SAC x SACRE'!J26,IF('Base dinâmica'!$D$1="Price",-'Price x SAC x SACRE'!E26,IF('Base dinâmica'!$D$1="sacre",-'Price x SAC x SACRE'!O26,0)))</f>
        <v>-414760.98614239384</v>
      </c>
      <c r="F27" s="70">
        <f t="shared" si="8"/>
        <v>10966.20000000001</v>
      </c>
      <c r="G27" s="70">
        <f t="shared" si="9"/>
        <v>-423.15000000000038</v>
      </c>
      <c r="H27" s="70">
        <f t="shared" si="10"/>
        <v>-250.63500000000025</v>
      </c>
      <c r="I27" s="70">
        <f t="shared" si="2"/>
        <v>10292.41500000001</v>
      </c>
      <c r="J27" s="123">
        <f t="shared" si="3"/>
        <v>4.0741237836483535E-3</v>
      </c>
      <c r="K27" s="123">
        <f t="shared" si="11"/>
        <v>3.3061554146507355E-2</v>
      </c>
      <c r="L27" s="124">
        <f t="shared" si="1"/>
        <v>0.1075</v>
      </c>
      <c r="M27" s="125">
        <f>+Dashboard!$B$36</f>
        <v>1</v>
      </c>
      <c r="N27" s="160">
        <f t="shared" si="4"/>
        <v>8.5450710394860963E-3</v>
      </c>
      <c r="O27" s="70">
        <f t="shared" si="7"/>
        <v>128329.9173800865</v>
      </c>
    </row>
    <row r="28" spans="1:18" outlineLevel="1" x14ac:dyDescent="0.25">
      <c r="A28" s="122">
        <v>21</v>
      </c>
      <c r="B28" s="70">
        <f>IF($D$1="SAC",-'Price x SAC x SACRE'!G27,IF('Base dinâmica'!$D$1="Price",-'Price x SAC x SACRE'!B27,IF('Base dinâmica'!$D$1="sacre",-'Price x SAC x SACRE'!L27,0)))</f>
        <v>-4100.918274350438</v>
      </c>
      <c r="C28" s="70">
        <f>IF($D$1="SAC",-'Price x SAC x SACRE'!H27,IF('Base dinâmica'!$D$1="Price",-'Price x SAC x SACRE'!C27,IF('Base dinâmica'!$D$1="sacre",-'Price x SAC x SACRE'!M27,0)))</f>
        <v>-165.33715950179439</v>
      </c>
      <c r="D28" s="70">
        <f>IF($D$1="SAC",-'Price x SAC x SACRE'!I27,IF('Base dinâmica'!$D$1="Price",-'Price x SAC x SACRE'!D27,IF('Base dinâmica'!$D$1="sacre",-'Price x SAC x SACRE'!N27,0)))</f>
        <v>-3935.5811148486432</v>
      </c>
      <c r="E28" s="70">
        <f>IF($D$1="SAC",-'Price x SAC x SACRE'!J27,IF('Base dinâmica'!$D$1="Price",-'Price x SAC x SACRE'!E27,IF('Base dinâmica'!$D$1="sacre",-'Price x SAC x SACRE'!O27,0)))</f>
        <v>-414595.64898289205</v>
      </c>
      <c r="F28" s="70">
        <f t="shared" si="8"/>
        <v>10966.20000000001</v>
      </c>
      <c r="G28" s="70">
        <f t="shared" si="9"/>
        <v>-423.15000000000038</v>
      </c>
      <c r="H28" s="70">
        <f t="shared" si="10"/>
        <v>-250.63500000000025</v>
      </c>
      <c r="I28" s="70">
        <f t="shared" si="2"/>
        <v>10292.41500000001</v>
      </c>
      <c r="J28" s="123">
        <f t="shared" si="3"/>
        <v>4.0741237836483535E-3</v>
      </c>
      <c r="K28" s="123">
        <f t="shared" si="11"/>
        <v>3.7270374794228456E-2</v>
      </c>
      <c r="L28" s="124">
        <f t="shared" si="1"/>
        <v>0.1075</v>
      </c>
      <c r="M28" s="125">
        <f>+Dashboard!$B$36</f>
        <v>1</v>
      </c>
      <c r="N28" s="160">
        <f t="shared" si="4"/>
        <v>8.5450710394860963E-3</v>
      </c>
      <c r="O28" s="70">
        <f t="shared" si="7"/>
        <v>135618.00236624028</v>
      </c>
    </row>
    <row r="29" spans="1:18" outlineLevel="1" x14ac:dyDescent="0.25">
      <c r="A29" s="122">
        <v>22</v>
      </c>
      <c r="B29" s="70">
        <f>IF($D$1="SAC",-'Price x SAC x SACRE'!G28,IF('Base dinâmica'!$D$1="Price",-'Price x SAC x SACRE'!B28,IF('Base dinâmica'!$D$1="sacre",-'Price x SAC x SACRE'!L28,0)))</f>
        <v>-4100.9182743504371</v>
      </c>
      <c r="C29" s="70">
        <f>IF($D$1="SAC",-'Price x SAC x SACRE'!H28,IF('Base dinâmica'!$D$1="Price",-'Price x SAC x SACRE'!C28,IF('Base dinâmica'!$D$1="sacre",-'Price x SAC x SACRE'!M28,0)))</f>
        <v>-166.90600957269902</v>
      </c>
      <c r="D29" s="70">
        <f>IF($D$1="SAC",-'Price x SAC x SACRE'!I28,IF('Base dinâmica'!$D$1="Price",-'Price x SAC x SACRE'!D28,IF('Base dinâmica'!$D$1="sacre",-'Price x SAC x SACRE'!N28,0)))</f>
        <v>-3934.0122647777384</v>
      </c>
      <c r="E29" s="70">
        <f>IF($D$1="SAC",-'Price x SAC x SACRE'!J28,IF('Base dinâmica'!$D$1="Price",-'Price x SAC x SACRE'!E28,IF('Base dinâmica'!$D$1="sacre",-'Price x SAC x SACRE'!O28,0)))</f>
        <v>-414428.74297331937</v>
      </c>
      <c r="F29" s="70">
        <f t="shared" si="8"/>
        <v>10966.20000000001</v>
      </c>
      <c r="G29" s="70">
        <f t="shared" si="9"/>
        <v>-423.15000000000038</v>
      </c>
      <c r="H29" s="70">
        <f t="shared" si="10"/>
        <v>-250.63500000000025</v>
      </c>
      <c r="I29" s="70">
        <f t="shared" si="2"/>
        <v>10292.41500000001</v>
      </c>
      <c r="J29" s="123">
        <f t="shared" si="3"/>
        <v>4.0741237836483535E-3</v>
      </c>
      <c r="K29" s="123">
        <f t="shared" si="11"/>
        <v>4.1496342698251532E-2</v>
      </c>
      <c r="L29" s="124">
        <f t="shared" si="1"/>
        <v>0.1075</v>
      </c>
      <c r="M29" s="125">
        <f>+Dashboard!$B$36</f>
        <v>1</v>
      </c>
      <c r="N29" s="160">
        <f t="shared" si="4"/>
        <v>8.5450710394860963E-3</v>
      </c>
      <c r="O29" s="70">
        <f t="shared" si="7"/>
        <v>142968.36455634257</v>
      </c>
    </row>
    <row r="30" spans="1:18" outlineLevel="1" x14ac:dyDescent="0.25">
      <c r="A30" s="122">
        <v>23</v>
      </c>
      <c r="B30" s="70">
        <f>IF($D$1="SAC",-'Price x SAC x SACRE'!G29,IF('Base dinâmica'!$D$1="Price",-'Price x SAC x SACRE'!B29,IF('Base dinâmica'!$D$1="sacre",-'Price x SAC x SACRE'!L29,0)))</f>
        <v>-4100.918274350438</v>
      </c>
      <c r="C30" s="70">
        <f>IF($D$1="SAC",-'Price x SAC x SACRE'!H29,IF('Base dinâmica'!$D$1="Price",-'Price x SAC x SACRE'!C29,IF('Base dinâmica'!$D$1="sacre",-'Price x SAC x SACRE'!M29,0)))</f>
        <v>-168.4897461370719</v>
      </c>
      <c r="D30" s="70">
        <f>IF($D$1="SAC",-'Price x SAC x SACRE'!I29,IF('Base dinâmica'!$D$1="Price",-'Price x SAC x SACRE'!D29,IF('Base dinâmica'!$D$1="sacre",-'Price x SAC x SACRE'!N29,0)))</f>
        <v>-3932.428528213366</v>
      </c>
      <c r="E30" s="70">
        <f>IF($D$1="SAC",-'Price x SAC x SACRE'!J29,IF('Base dinâmica'!$D$1="Price",-'Price x SAC x SACRE'!E29,IF('Base dinâmica'!$D$1="sacre",-'Price x SAC x SACRE'!O29,0)))</f>
        <v>-414260.25322718231</v>
      </c>
      <c r="F30" s="70">
        <f t="shared" si="8"/>
        <v>10966.20000000001</v>
      </c>
      <c r="G30" s="70">
        <f t="shared" si="9"/>
        <v>-423.15000000000038</v>
      </c>
      <c r="H30" s="70">
        <v>0</v>
      </c>
      <c r="I30" s="70">
        <f t="shared" si="2"/>
        <v>10543.05000000001</v>
      </c>
      <c r="J30" s="123">
        <f t="shared" si="3"/>
        <v>4.0741237836483535E-3</v>
      </c>
      <c r="K30" s="123">
        <f t="shared" si="11"/>
        <v>4.573952771862122E-2</v>
      </c>
      <c r="L30" s="124">
        <f t="shared" si="1"/>
        <v>0.1075</v>
      </c>
      <c r="M30" s="125">
        <f>+Dashboard!$B$36</f>
        <v>1</v>
      </c>
      <c r="N30" s="160">
        <f t="shared" si="4"/>
        <v>8.5450710394860963E-3</v>
      </c>
      <c r="O30" s="70">
        <f t="shared" si="7"/>
        <v>150632.17111352526</v>
      </c>
    </row>
    <row r="31" spans="1:18" s="53" customFormat="1" x14ac:dyDescent="0.25">
      <c r="A31" s="68">
        <v>24</v>
      </c>
      <c r="B31" s="64">
        <f>IF($D$1="SAC",-'Price x SAC x SACRE'!G30,IF('Base dinâmica'!$D$1="Price",-'Price x SAC x SACRE'!B30,IF('Base dinâmica'!$D$1="sacre",-'Price x SAC x SACRE'!L30,0)))</f>
        <v>-4100.918274350438</v>
      </c>
      <c r="C31" s="64">
        <f>IF($D$1="SAC",-'Price x SAC x SACRE'!H30,IF('Base dinâmica'!$D$1="Price",-'Price x SAC x SACRE'!C30,IF('Base dinâmica'!$D$1="sacre",-'Price x SAC x SACRE'!M30,0)))</f>
        <v>-170.08851044976703</v>
      </c>
      <c r="D31" s="64">
        <f>IF($D$1="SAC",-'Price x SAC x SACRE'!I30,IF('Base dinâmica'!$D$1="Price",-'Price x SAC x SACRE'!D30,IF('Base dinâmica'!$D$1="sacre",-'Price x SAC x SACRE'!N30,0)))</f>
        <v>-3930.829763900671</v>
      </c>
      <c r="E31" s="64">
        <f>IF($D$1="SAC",-'Price x SAC x SACRE'!J30,IF('Base dinâmica'!$D$1="Price",-'Price x SAC x SACRE'!E30,IF('Base dinâmica'!$D$1="sacre",-'Price x SAC x SACRE'!O30,0)))</f>
        <v>-414090.16471673257</v>
      </c>
      <c r="F31" s="64">
        <f>+F30</f>
        <v>10966.20000000001</v>
      </c>
      <c r="G31" s="64">
        <f>+G30</f>
        <v>-423.15000000000038</v>
      </c>
      <c r="H31" s="64">
        <v>0</v>
      </c>
      <c r="I31" s="64">
        <f t="shared" si="2"/>
        <v>10543.05000000001</v>
      </c>
      <c r="J31" s="119">
        <f t="shared" si="3"/>
        <v>4.0741237836483535E-3</v>
      </c>
      <c r="K31" s="119">
        <f t="shared" si="11"/>
        <v>5.0000000000000933E-2</v>
      </c>
      <c r="L31" s="120">
        <f t="shared" si="1"/>
        <v>0.1075</v>
      </c>
      <c r="M31" s="121">
        <f>+Dashboard!$B$36</f>
        <v>1</v>
      </c>
      <c r="N31" s="160">
        <f t="shared" si="4"/>
        <v>8.5450710394860963E-3</v>
      </c>
      <c r="O31" s="64">
        <f t="shared" si="7"/>
        <v>158361.46544217193</v>
      </c>
    </row>
    <row r="32" spans="1:18" outlineLevel="1" x14ac:dyDescent="0.25">
      <c r="A32" s="122">
        <v>25</v>
      </c>
      <c r="B32" s="70">
        <f>IF($D$1="SAC",-'Price x SAC x SACRE'!G31,IF('Base dinâmica'!$D$1="Price",-'Price x SAC x SACRE'!B31,IF('Base dinâmica'!$D$1="sacre",-'Price x SAC x SACRE'!L31,0)))</f>
        <v>-4100.918274350438</v>
      </c>
      <c r="C32" s="70">
        <f>IF($D$1="SAC",-'Price x SAC x SACRE'!H31,IF('Base dinâmica'!$D$1="Price",-'Price x SAC x SACRE'!C31,IF('Base dinâmica'!$D$1="sacre",-'Price x SAC x SACRE'!M31,0)))</f>
        <v>-171.70244510597652</v>
      </c>
      <c r="D32" s="70">
        <f>IF($D$1="SAC",-'Price x SAC x SACRE'!I31,IF('Base dinâmica'!$D$1="Price",-'Price x SAC x SACRE'!D31,IF('Base dinâmica'!$D$1="sacre",-'Price x SAC x SACRE'!N31,0)))</f>
        <v>-3929.2158292444615</v>
      </c>
      <c r="E32" s="70">
        <f>IF($D$1="SAC",-'Price x SAC x SACRE'!J31,IF('Base dinâmica'!$D$1="Price",-'Price x SAC x SACRE'!E31,IF('Base dinâmica'!$D$1="sacre",-'Price x SAC x SACRE'!O31,0)))</f>
        <v>-413918.46227162657</v>
      </c>
      <c r="F32" s="70">
        <f>+F31*(1+K31)</f>
        <v>11514.51000000002</v>
      </c>
      <c r="G32" s="70">
        <f>+G31*(1+K31)</f>
        <v>-444.3075000000008</v>
      </c>
      <c r="H32" s="70">
        <f>+H29*(1+K31)</f>
        <v>-263.16675000000049</v>
      </c>
      <c r="I32" s="70">
        <f t="shared" si="2"/>
        <v>10807.035750000019</v>
      </c>
      <c r="J32" s="123">
        <f t="shared" si="3"/>
        <v>4.0741237836483535E-3</v>
      </c>
      <c r="K32" s="123">
        <f>+J32</f>
        <v>4.0741237836483535E-3</v>
      </c>
      <c r="L32" s="124">
        <f t="shared" si="1"/>
        <v>0.1075</v>
      </c>
      <c r="M32" s="125">
        <f>+Dashboard!$B$36</f>
        <v>1</v>
      </c>
      <c r="N32" s="160">
        <f t="shared" si="4"/>
        <v>8.5450710394860963E-3</v>
      </c>
      <c r="O32" s="70">
        <f t="shared" si="7"/>
        <v>166420.79288994198</v>
      </c>
    </row>
    <row r="33" spans="1:18" outlineLevel="1" x14ac:dyDescent="0.25">
      <c r="A33" s="122">
        <v>26</v>
      </c>
      <c r="B33" s="70">
        <f>IF($D$1="SAC",-'Price x SAC x SACRE'!G32,IF('Base dinâmica'!$D$1="Price",-'Price x SAC x SACRE'!B32,IF('Base dinâmica'!$D$1="sacre",-'Price x SAC x SACRE'!L32,0)))</f>
        <v>-4100.918274350438</v>
      </c>
      <c r="C33" s="70">
        <f>IF($D$1="SAC",-'Price x SAC x SACRE'!H32,IF('Base dinâmica'!$D$1="Price",-'Price x SAC x SACRE'!C32,IF('Base dinâmica'!$D$1="sacre",-'Price x SAC x SACRE'!M32,0)))</f>
        <v>-173.33169405394875</v>
      </c>
      <c r="D33" s="70">
        <f>IF($D$1="SAC",-'Price x SAC x SACRE'!I32,IF('Base dinâmica'!$D$1="Price",-'Price x SAC x SACRE'!D32,IF('Base dinâmica'!$D$1="sacre",-'Price x SAC x SACRE'!N32,0)))</f>
        <v>-3927.586580296489</v>
      </c>
      <c r="E33" s="70">
        <f>IF($D$1="SAC",-'Price x SAC x SACRE'!J32,IF('Base dinâmica'!$D$1="Price",-'Price x SAC x SACRE'!E32,IF('Base dinâmica'!$D$1="sacre",-'Price x SAC x SACRE'!O32,0)))</f>
        <v>-413745.13057757262</v>
      </c>
      <c r="F33" s="70">
        <f>+F32</f>
        <v>11514.51000000002</v>
      </c>
      <c r="G33" s="70">
        <f>+G32</f>
        <v>-444.3075000000008</v>
      </c>
      <c r="H33" s="70">
        <f>+H32</f>
        <v>-263.16675000000049</v>
      </c>
      <c r="I33" s="70">
        <f t="shared" si="2"/>
        <v>10807.035750000019</v>
      </c>
      <c r="J33" s="123">
        <f t="shared" si="3"/>
        <v>4.0741237836483535E-3</v>
      </c>
      <c r="K33" s="123">
        <f>((+K32+1)*(J33+1))-1</f>
        <v>8.1648460519012644E-3</v>
      </c>
      <c r="L33" s="124">
        <f t="shared" si="1"/>
        <v>0.1075</v>
      </c>
      <c r="M33" s="125">
        <f>+Dashboard!$B$36</f>
        <v>1</v>
      </c>
      <c r="N33" s="160">
        <f t="shared" si="4"/>
        <v>8.5450710394860963E-3</v>
      </c>
      <c r="O33" s="70">
        <f t="shared" si="7"/>
        <v>174548.98786328372</v>
      </c>
    </row>
    <row r="34" spans="1:18" outlineLevel="1" x14ac:dyDescent="0.25">
      <c r="A34" s="122">
        <v>27</v>
      </c>
      <c r="B34" s="70">
        <f>IF($D$1="SAC",-'Price x SAC x SACRE'!G33,IF('Base dinâmica'!$D$1="Price",-'Price x SAC x SACRE'!B33,IF('Base dinâmica'!$D$1="sacre",-'Price x SAC x SACRE'!L33,0)))</f>
        <v>-4100.918274350438</v>
      </c>
      <c r="C34" s="70">
        <f>IF($D$1="SAC",-'Price x SAC x SACRE'!H33,IF('Base dinâmica'!$D$1="Price",-'Price x SAC x SACRE'!C33,IF('Base dinâmica'!$D$1="sacre",-'Price x SAC x SACRE'!M33,0)))</f>
        <v>-174.97640260782711</v>
      </c>
      <c r="D34" s="70">
        <f>IF($D$1="SAC",-'Price x SAC x SACRE'!I33,IF('Base dinâmica'!$D$1="Price",-'Price x SAC x SACRE'!D33,IF('Base dinâmica'!$D$1="sacre",-'Price x SAC x SACRE'!N33,0)))</f>
        <v>-3925.9418717426106</v>
      </c>
      <c r="E34" s="70">
        <f>IF($D$1="SAC",-'Price x SAC x SACRE'!J33,IF('Base dinâmica'!$D$1="Price",-'Price x SAC x SACRE'!E33,IF('Base dinâmica'!$D$1="sacre",-'Price x SAC x SACRE'!O33,0)))</f>
        <v>-413570.15417496482</v>
      </c>
      <c r="F34" s="70">
        <f t="shared" ref="F34:F42" si="12">+F33</f>
        <v>11514.51000000002</v>
      </c>
      <c r="G34" s="70">
        <f t="shared" ref="G34:G42" si="13">+G33</f>
        <v>-444.3075000000008</v>
      </c>
      <c r="H34" s="70">
        <f t="shared" ref="H34:H41" si="14">+H33</f>
        <v>-263.16675000000049</v>
      </c>
      <c r="I34" s="70">
        <f t="shared" si="2"/>
        <v>10807.035750000019</v>
      </c>
      <c r="J34" s="123">
        <f t="shared" si="3"/>
        <v>4.0741237836483535E-3</v>
      </c>
      <c r="K34" s="123">
        <f t="shared" ref="K34:K43" si="15">((+K33+1)*(J34+1))-1</f>
        <v>1.2272234429039575E-2</v>
      </c>
      <c r="L34" s="124">
        <f t="shared" si="1"/>
        <v>0.1075</v>
      </c>
      <c r="M34" s="125">
        <f>+Dashboard!$B$36</f>
        <v>1</v>
      </c>
      <c r="N34" s="160">
        <f t="shared" si="4"/>
        <v>8.5450710394860963E-3</v>
      </c>
      <c r="O34" s="70">
        <f t="shared" si="7"/>
        <v>182746.63884009546</v>
      </c>
    </row>
    <row r="35" spans="1:18" outlineLevel="1" x14ac:dyDescent="0.25">
      <c r="A35" s="122">
        <v>28</v>
      </c>
      <c r="B35" s="70">
        <f>IF($D$1="SAC",-'Price x SAC x SACRE'!G34,IF('Base dinâmica'!$D$1="Price",-'Price x SAC x SACRE'!B34,IF('Base dinâmica'!$D$1="sacre",-'Price x SAC x SACRE'!L34,0)))</f>
        <v>-4100.918274350438</v>
      </c>
      <c r="C35" s="70">
        <f>IF($D$1="SAC",-'Price x SAC x SACRE'!H34,IF('Base dinâmica'!$D$1="Price",-'Price x SAC x SACRE'!C34,IF('Base dinâmica'!$D$1="sacre",-'Price x SAC x SACRE'!M34,0)))</f>
        <v>-176.63671746061112</v>
      </c>
      <c r="D35" s="70">
        <f>IF($D$1="SAC",-'Price x SAC x SACRE'!I34,IF('Base dinâmica'!$D$1="Price",-'Price x SAC x SACRE'!D34,IF('Base dinâmica'!$D$1="sacre",-'Price x SAC x SACRE'!N34,0)))</f>
        <v>-3924.2815568898272</v>
      </c>
      <c r="E35" s="70">
        <f>IF($D$1="SAC",-'Price x SAC x SACRE'!J34,IF('Base dinâmica'!$D$1="Price",-'Price x SAC x SACRE'!E34,IF('Base dinâmica'!$D$1="sacre",-'Price x SAC x SACRE'!O34,0)))</f>
        <v>-413393.51745750423</v>
      </c>
      <c r="F35" s="70">
        <f t="shared" si="12"/>
        <v>11514.51000000002</v>
      </c>
      <c r="G35" s="70">
        <f t="shared" si="13"/>
        <v>-444.3075000000008</v>
      </c>
      <c r="H35" s="70">
        <f t="shared" si="14"/>
        <v>-263.16675000000049</v>
      </c>
      <c r="I35" s="70">
        <f t="shared" si="2"/>
        <v>10807.035750000019</v>
      </c>
      <c r="J35" s="123">
        <f t="shared" si="3"/>
        <v>4.0741237836483535E-3</v>
      </c>
      <c r="K35" s="123">
        <f t="shared" si="15"/>
        <v>1.6396356814853741E-2</v>
      </c>
      <c r="L35" s="124">
        <f t="shared" si="1"/>
        <v>0.1075</v>
      </c>
      <c r="M35" s="125">
        <f>+Dashboard!$B$36</f>
        <v>1</v>
      </c>
      <c r="N35" s="160">
        <f t="shared" si="4"/>
        <v>8.5450710394860963E-3</v>
      </c>
      <c r="O35" s="70">
        <f t="shared" si="7"/>
        <v>191014.33932686097</v>
      </c>
    </row>
    <row r="36" spans="1:18" outlineLevel="1" x14ac:dyDescent="0.25">
      <c r="A36" s="122">
        <v>29</v>
      </c>
      <c r="B36" s="70">
        <f>IF($D$1="SAC",-'Price x SAC x SACRE'!G35,IF('Base dinâmica'!$D$1="Price",-'Price x SAC x SACRE'!B35,IF('Base dinâmica'!$D$1="sacre",-'Price x SAC x SACRE'!L35,0)))</f>
        <v>-4100.9182743504389</v>
      </c>
      <c r="C36" s="70">
        <f>IF($D$1="SAC",-'Price x SAC x SACRE'!H35,IF('Base dinâmica'!$D$1="Price",-'Price x SAC x SACRE'!C35,IF('Base dinâmica'!$D$1="sacre",-'Price x SAC x SACRE'!M35,0)))</f>
        <v>-178.31278669723929</v>
      </c>
      <c r="D36" s="70">
        <f>IF($D$1="SAC",-'Price x SAC x SACRE'!I35,IF('Base dinâmica'!$D$1="Price",-'Price x SAC x SACRE'!D35,IF('Base dinâmica'!$D$1="sacre",-'Price x SAC x SACRE'!N35,0)))</f>
        <v>-3922.6054876531994</v>
      </c>
      <c r="E36" s="70">
        <f>IF($D$1="SAC",-'Price x SAC x SACRE'!J35,IF('Base dinâmica'!$D$1="Price",-'Price x SAC x SACRE'!E35,IF('Base dinâmica'!$D$1="sacre",-'Price x SAC x SACRE'!O35,0)))</f>
        <v>-413215.204670807</v>
      </c>
      <c r="F36" s="70">
        <f t="shared" si="12"/>
        <v>11514.51000000002</v>
      </c>
      <c r="G36" s="70">
        <f t="shared" si="13"/>
        <v>-444.3075000000008</v>
      </c>
      <c r="H36" s="70">
        <f t="shared" si="14"/>
        <v>-263.16675000000049</v>
      </c>
      <c r="I36" s="70">
        <f t="shared" si="2"/>
        <v>10807.035750000019</v>
      </c>
      <c r="J36" s="123">
        <f t="shared" si="3"/>
        <v>4.0741237836483535E-3</v>
      </c>
      <c r="K36" s="123">
        <f t="shared" si="15"/>
        <v>2.0537281385766715E-2</v>
      </c>
      <c r="L36" s="124">
        <f t="shared" si="1"/>
        <v>0.1075</v>
      </c>
      <c r="M36" s="125">
        <f>+Dashboard!$B$36</f>
        <v>1</v>
      </c>
      <c r="N36" s="160">
        <f t="shared" si="4"/>
        <v>8.5450710394860963E-3</v>
      </c>
      <c r="O36" s="70">
        <f t="shared" si="7"/>
        <v>199352.68790161907</v>
      </c>
    </row>
    <row r="37" spans="1:18" outlineLevel="1" x14ac:dyDescent="0.25">
      <c r="A37" s="122">
        <v>30</v>
      </c>
      <c r="B37" s="70">
        <f>IF($D$1="SAC",-'Price x SAC x SACRE'!G36,IF('Base dinâmica'!$D$1="Price",-'Price x SAC x SACRE'!B36,IF('Base dinâmica'!$D$1="sacre",-'Price x SAC x SACRE'!L36,0)))</f>
        <v>-4100.9182743504389</v>
      </c>
      <c r="C37" s="70">
        <f>IF($D$1="SAC",-'Price x SAC x SACRE'!H36,IF('Base dinâmica'!$D$1="Price",-'Price x SAC x SACRE'!C36,IF('Base dinâmica'!$D$1="sacre",-'Price x SAC x SACRE'!M36,0)))</f>
        <v>-180.00475980779788</v>
      </c>
      <c r="D37" s="70">
        <f>IF($D$1="SAC",-'Price x SAC x SACRE'!I36,IF('Base dinâmica'!$D$1="Price",-'Price x SAC x SACRE'!D36,IF('Base dinâmica'!$D$1="sacre",-'Price x SAC x SACRE'!N36,0)))</f>
        <v>-3920.9135145426408</v>
      </c>
      <c r="E37" s="70">
        <f>IF($D$1="SAC",-'Price x SAC x SACRE'!J36,IF('Base dinâmica'!$D$1="Price",-'Price x SAC x SACRE'!E36,IF('Base dinâmica'!$D$1="sacre",-'Price x SAC x SACRE'!O36,0)))</f>
        <v>-413035.19991099922</v>
      </c>
      <c r="F37" s="70">
        <f t="shared" si="12"/>
        <v>11514.51000000002</v>
      </c>
      <c r="G37" s="70">
        <f t="shared" si="13"/>
        <v>-444.3075000000008</v>
      </c>
      <c r="H37" s="70">
        <f t="shared" si="14"/>
        <v>-263.16675000000049</v>
      </c>
      <c r="I37" s="70">
        <f t="shared" si="2"/>
        <v>10807.035750000019</v>
      </c>
      <c r="J37" s="123">
        <f t="shared" si="3"/>
        <v>4.0741237836483535E-3</v>
      </c>
      <c r="K37" s="123">
        <f t="shared" si="15"/>
        <v>2.4695076595960375E-2</v>
      </c>
      <c r="L37" s="124">
        <f t="shared" si="1"/>
        <v>0.1075</v>
      </c>
      <c r="M37" s="125">
        <f>+Dashboard!$B$36</f>
        <v>1</v>
      </c>
      <c r="N37" s="160">
        <f t="shared" si="4"/>
        <v>8.5450710394860963E-3</v>
      </c>
      <c r="O37" s="70">
        <f t="shared" si="7"/>
        <v>207762.28825730048</v>
      </c>
    </row>
    <row r="38" spans="1:18" outlineLevel="1" x14ac:dyDescent="0.25">
      <c r="A38" s="122">
        <v>31</v>
      </c>
      <c r="B38" s="70">
        <f>IF($D$1="SAC",-'Price x SAC x SACRE'!G37,IF('Base dinâmica'!$D$1="Price",-'Price x SAC x SACRE'!B37,IF('Base dinâmica'!$D$1="sacre",-'Price x SAC x SACRE'!L37,0)))</f>
        <v>-4100.9182743504389</v>
      </c>
      <c r="C38" s="70">
        <f>IF($D$1="SAC",-'Price x SAC x SACRE'!H37,IF('Base dinâmica'!$D$1="Price",-'Price x SAC x SACRE'!C37,IF('Base dinâmica'!$D$1="sacre",-'Price x SAC x SACRE'!M37,0)))</f>
        <v>-181.7127877008534</v>
      </c>
      <c r="D38" s="70">
        <f>IF($D$1="SAC",-'Price x SAC x SACRE'!I37,IF('Base dinâmica'!$D$1="Price",-'Price x SAC x SACRE'!D37,IF('Base dinâmica'!$D$1="sacre",-'Price x SAC x SACRE'!N37,0)))</f>
        <v>-3919.2054866495851</v>
      </c>
      <c r="E38" s="70">
        <f>IF($D$1="SAC",-'Price x SAC x SACRE'!J37,IF('Base dinâmica'!$D$1="Price",-'Price x SAC x SACRE'!E37,IF('Base dinâmica'!$D$1="sacre",-'Price x SAC x SACRE'!O37,0)))</f>
        <v>-412853.48712329834</v>
      </c>
      <c r="F38" s="70">
        <f t="shared" si="12"/>
        <v>11514.51000000002</v>
      </c>
      <c r="G38" s="70">
        <f t="shared" si="13"/>
        <v>-444.3075000000008</v>
      </c>
      <c r="H38" s="70">
        <f t="shared" si="14"/>
        <v>-263.16675000000049</v>
      </c>
      <c r="I38" s="70">
        <f t="shared" si="2"/>
        <v>10807.035750000019</v>
      </c>
      <c r="J38" s="123">
        <f t="shared" si="3"/>
        <v>4.0741237836483535E-3</v>
      </c>
      <c r="K38" s="123">
        <f t="shared" si="15"/>
        <v>2.8869811178507288E-2</v>
      </c>
      <c r="L38" s="124">
        <f t="shared" si="1"/>
        <v>0.1075</v>
      </c>
      <c r="M38" s="125">
        <f>+Dashboard!$B$36</f>
        <v>1</v>
      </c>
      <c r="N38" s="160">
        <f t="shared" si="4"/>
        <v>8.5450710394860963E-3</v>
      </c>
      <c r="O38" s="70">
        <f t="shared" si="7"/>
        <v>216243.74924543488</v>
      </c>
    </row>
    <row r="39" spans="1:18" outlineLevel="1" x14ac:dyDescent="0.25">
      <c r="A39" s="122">
        <v>32</v>
      </c>
      <c r="B39" s="70">
        <f>IF($D$1="SAC",-'Price x SAC x SACRE'!G38,IF('Base dinâmica'!$D$1="Price",-'Price x SAC x SACRE'!B38,IF('Base dinâmica'!$D$1="sacre",-'Price x SAC x SACRE'!L38,0)))</f>
        <v>-4100.9182743504389</v>
      </c>
      <c r="C39" s="70">
        <f>IF($D$1="SAC",-'Price x SAC x SACRE'!H38,IF('Base dinâmica'!$D$1="Price",-'Price x SAC x SACRE'!C38,IF('Base dinâmica'!$D$1="sacre",-'Price x SAC x SACRE'!M38,0)))</f>
        <v>-183.43702271691262</v>
      </c>
      <c r="D39" s="70">
        <f>IF($D$1="SAC",-'Price x SAC x SACRE'!I38,IF('Base dinâmica'!$D$1="Price",-'Price x SAC x SACRE'!D38,IF('Base dinâmica'!$D$1="sacre",-'Price x SAC x SACRE'!N38,0)))</f>
        <v>-3917.481251633526</v>
      </c>
      <c r="E39" s="70">
        <f>IF($D$1="SAC",-'Price x SAC x SACRE'!J38,IF('Base dinâmica'!$D$1="Price",-'Price x SAC x SACRE'!E38,IF('Base dinâmica'!$D$1="sacre",-'Price x SAC x SACRE'!O38,0)))</f>
        <v>-412670.05010058143</v>
      </c>
      <c r="F39" s="70">
        <f t="shared" si="12"/>
        <v>11514.51000000002</v>
      </c>
      <c r="G39" s="70">
        <f t="shared" si="13"/>
        <v>-444.3075000000008</v>
      </c>
      <c r="H39" s="70">
        <f t="shared" si="14"/>
        <v>-263.16675000000049</v>
      </c>
      <c r="I39" s="70">
        <f t="shared" si="2"/>
        <v>10807.035750000019</v>
      </c>
      <c r="J39" s="123">
        <f t="shared" si="3"/>
        <v>4.0741237836483535E-3</v>
      </c>
      <c r="K39" s="123">
        <f t="shared" si="15"/>
        <v>3.3061554146507355E-2</v>
      </c>
      <c r="L39" s="124">
        <f t="shared" si="1"/>
        <v>0.1075</v>
      </c>
      <c r="M39" s="125">
        <f>+Dashboard!$B$36</f>
        <v>1</v>
      </c>
      <c r="N39" s="160">
        <f t="shared" si="4"/>
        <v>8.5450710394860963E-3</v>
      </c>
      <c r="O39" s="70">
        <f t="shared" si="7"/>
        <v>224797.68492023152</v>
      </c>
    </row>
    <row r="40" spans="1:18" outlineLevel="1" x14ac:dyDescent="0.25">
      <c r="A40" s="122">
        <v>33</v>
      </c>
      <c r="B40" s="70">
        <f>IF($D$1="SAC",-'Price x SAC x SACRE'!G39,IF('Base dinâmica'!$D$1="Price",-'Price x SAC x SACRE'!B39,IF('Base dinâmica'!$D$1="sacre",-'Price x SAC x SACRE'!L39,0)))</f>
        <v>-4100.9182743504389</v>
      </c>
      <c r="C40" s="70">
        <f>IF($D$1="SAC",-'Price x SAC x SACRE'!H39,IF('Base dinâmica'!$D$1="Price",-'Price x SAC x SACRE'!C39,IF('Base dinâmica'!$D$1="sacre",-'Price x SAC x SACRE'!M39,0)))</f>
        <v>-185.1776186420098</v>
      </c>
      <c r="D40" s="70">
        <f>IF($D$1="SAC",-'Price x SAC x SACRE'!I39,IF('Base dinâmica'!$D$1="Price",-'Price x SAC x SACRE'!D39,IF('Base dinâmica'!$D$1="sacre",-'Price x SAC x SACRE'!N39,0)))</f>
        <v>-3915.7406557084287</v>
      </c>
      <c r="E40" s="70">
        <f>IF($D$1="SAC",-'Price x SAC x SACRE'!J39,IF('Base dinâmica'!$D$1="Price",-'Price x SAC x SACRE'!E39,IF('Base dinâmica'!$D$1="sacre",-'Price x SAC x SACRE'!O39,0)))</f>
        <v>-412484.87248193944</v>
      </c>
      <c r="F40" s="70">
        <f t="shared" si="12"/>
        <v>11514.51000000002</v>
      </c>
      <c r="G40" s="70">
        <f t="shared" si="13"/>
        <v>-444.3075000000008</v>
      </c>
      <c r="H40" s="70">
        <f t="shared" si="14"/>
        <v>-263.16675000000049</v>
      </c>
      <c r="I40" s="70">
        <f t="shared" si="2"/>
        <v>10807.035750000019</v>
      </c>
      <c r="J40" s="123">
        <f t="shared" si="3"/>
        <v>4.0741237836483535E-3</v>
      </c>
      <c r="K40" s="123">
        <f t="shared" si="15"/>
        <v>3.7270374794228456E-2</v>
      </c>
      <c r="L40" s="124">
        <f t="shared" si="1"/>
        <v>0.1075</v>
      </c>
      <c r="M40" s="125">
        <f>+Dashboard!$B$36</f>
        <v>1</v>
      </c>
      <c r="N40" s="160">
        <f t="shared" si="4"/>
        <v>8.5450710394860963E-3</v>
      </c>
      <c r="O40" s="70">
        <f t="shared" si="7"/>
        <v>233424.71458303649</v>
      </c>
    </row>
    <row r="41" spans="1:18" outlineLevel="1" x14ac:dyDescent="0.25">
      <c r="A41" s="122">
        <v>34</v>
      </c>
      <c r="B41" s="70">
        <f>IF($D$1="SAC",-'Price x SAC x SACRE'!G40,IF('Base dinâmica'!$D$1="Price",-'Price x SAC x SACRE'!B40,IF('Base dinâmica'!$D$1="sacre",-'Price x SAC x SACRE'!L40,0)))</f>
        <v>-4100.9182743504389</v>
      </c>
      <c r="C41" s="70">
        <f>IF($D$1="SAC",-'Price x SAC x SACRE'!H40,IF('Base dinâmica'!$D$1="Price",-'Price x SAC x SACRE'!C40,IF('Base dinâmica'!$D$1="sacre",-'Price x SAC x SACRE'!M40,0)))</f>
        <v>-186.93473072142302</v>
      </c>
      <c r="D41" s="70">
        <f>IF($D$1="SAC",-'Price x SAC x SACRE'!I40,IF('Base dinâmica'!$D$1="Price",-'Price x SAC x SACRE'!D40,IF('Base dinâmica'!$D$1="sacre",-'Price x SAC x SACRE'!N40,0)))</f>
        <v>-3913.9835436290155</v>
      </c>
      <c r="E41" s="70">
        <f>IF($D$1="SAC",-'Price x SAC x SACRE'!J40,IF('Base dinâmica'!$D$1="Price",-'Price x SAC x SACRE'!E40,IF('Base dinâmica'!$D$1="sacre",-'Price x SAC x SACRE'!O40,0)))</f>
        <v>-412297.93775121804</v>
      </c>
      <c r="F41" s="70">
        <f t="shared" si="12"/>
        <v>11514.51000000002</v>
      </c>
      <c r="G41" s="70">
        <f t="shared" si="13"/>
        <v>-444.3075000000008</v>
      </c>
      <c r="H41" s="70">
        <f t="shared" si="14"/>
        <v>-263.16675000000049</v>
      </c>
      <c r="I41" s="70">
        <f t="shared" si="2"/>
        <v>10807.035750000019</v>
      </c>
      <c r="J41" s="123">
        <f t="shared" si="3"/>
        <v>4.0741237836483535E-3</v>
      </c>
      <c r="K41" s="123">
        <f t="shared" si="15"/>
        <v>4.1496342698251532E-2</v>
      </c>
      <c r="L41" s="124">
        <f t="shared" si="1"/>
        <v>0.1075</v>
      </c>
      <c r="M41" s="125">
        <f>+Dashboard!$B$36</f>
        <v>1</v>
      </c>
      <c r="N41" s="160">
        <f t="shared" si="4"/>
        <v>8.5450710394860963E-3</v>
      </c>
      <c r="O41" s="70">
        <f t="shared" si="7"/>
        <v>242125.46282716989</v>
      </c>
    </row>
    <row r="42" spans="1:18" outlineLevel="1" x14ac:dyDescent="0.25">
      <c r="A42" s="122">
        <v>35</v>
      </c>
      <c r="B42" s="70">
        <f>IF($D$1="SAC",-'Price x SAC x SACRE'!G41,IF('Base dinâmica'!$D$1="Price",-'Price x SAC x SACRE'!B41,IF('Base dinâmica'!$D$1="sacre",-'Price x SAC x SACRE'!L41,0)))</f>
        <v>-4100.9182743504389</v>
      </c>
      <c r="C42" s="70">
        <f>IF($D$1="SAC",-'Price x SAC x SACRE'!H41,IF('Base dinâmica'!$D$1="Price",-'Price x SAC x SACRE'!C41,IF('Base dinâmica'!$D$1="sacre",-'Price x SAC x SACRE'!M41,0)))</f>
        <v>-188.70851567352071</v>
      </c>
      <c r="D42" s="70">
        <f>IF($D$1="SAC",-'Price x SAC x SACRE'!I41,IF('Base dinâmica'!$D$1="Price",-'Price x SAC x SACRE'!D41,IF('Base dinâmica'!$D$1="sacre",-'Price x SAC x SACRE'!N41,0)))</f>
        <v>-3912.2097586769182</v>
      </c>
      <c r="E42" s="70">
        <f>IF($D$1="SAC",-'Price x SAC x SACRE'!J41,IF('Base dinâmica'!$D$1="Price",-'Price x SAC x SACRE'!E41,IF('Base dinâmica'!$D$1="sacre",-'Price x SAC x SACRE'!O41,0)))</f>
        <v>-412109.22923554451</v>
      </c>
      <c r="F42" s="70">
        <f t="shared" si="12"/>
        <v>11514.51000000002</v>
      </c>
      <c r="G42" s="70">
        <f t="shared" si="13"/>
        <v>-444.3075000000008</v>
      </c>
      <c r="H42" s="70">
        <v>0</v>
      </c>
      <c r="I42" s="70">
        <f t="shared" si="2"/>
        <v>11070.202500000019</v>
      </c>
      <c r="J42" s="123">
        <f t="shared" si="3"/>
        <v>4.0741237836483535E-3</v>
      </c>
      <c r="K42" s="123">
        <f t="shared" si="15"/>
        <v>4.573952771862122E-2</v>
      </c>
      <c r="L42" s="124">
        <f t="shared" si="1"/>
        <v>0.1075</v>
      </c>
      <c r="M42" s="125">
        <f>+Dashboard!$B$36</f>
        <v>1</v>
      </c>
      <c r="N42" s="160">
        <f t="shared" si="4"/>
        <v>8.5450710394860963E-3</v>
      </c>
      <c r="O42" s="70">
        <f t="shared" si="7"/>
        <v>251163.72633314607</v>
      </c>
    </row>
    <row r="43" spans="1:18" s="53" customFormat="1" x14ac:dyDescent="0.25">
      <c r="A43" s="68">
        <v>36</v>
      </c>
      <c r="B43" s="64">
        <f>IF($D$1="SAC",-'Price x SAC x SACRE'!G42,IF('Base dinâmica'!$D$1="Price",-'Price x SAC x SACRE'!B42,IF('Base dinâmica'!$D$1="sacre",-'Price x SAC x SACRE'!L42,0)))</f>
        <v>-4100.9182743504389</v>
      </c>
      <c r="C43" s="64">
        <f>IF($D$1="SAC",-'Price x SAC x SACRE'!H42,IF('Base dinâmica'!$D$1="Price",-'Price x SAC x SACRE'!C42,IF('Base dinâmica'!$D$1="sacre",-'Price x SAC x SACRE'!M42,0)))</f>
        <v>-190.49913170373927</v>
      </c>
      <c r="D43" s="64">
        <f>IF($D$1="SAC",-'Price x SAC x SACRE'!I42,IF('Base dinâmica'!$D$1="Price",-'Price x SAC x SACRE'!D42,IF('Base dinâmica'!$D$1="sacre",-'Price x SAC x SACRE'!N42,0)))</f>
        <v>-3910.4191426466996</v>
      </c>
      <c r="E43" s="64">
        <f>IF($D$1="SAC",-'Price x SAC x SACRE'!J42,IF('Base dinâmica'!$D$1="Price",-'Price x SAC x SACRE'!E42,IF('Base dinâmica'!$D$1="sacre",-'Price x SAC x SACRE'!O42,0)))</f>
        <v>-411918.73010384076</v>
      </c>
      <c r="F43" s="64">
        <f>+F42</f>
        <v>11514.51000000002</v>
      </c>
      <c r="G43" s="64">
        <f>+G42</f>
        <v>-444.3075000000008</v>
      </c>
      <c r="H43" s="64">
        <v>0</v>
      </c>
      <c r="I43" s="64">
        <f t="shared" si="2"/>
        <v>11070.202500000019</v>
      </c>
      <c r="J43" s="119">
        <f t="shared" si="3"/>
        <v>4.0741237836483535E-3</v>
      </c>
      <c r="K43" s="119">
        <f t="shared" si="15"/>
        <v>5.0000000000000933E-2</v>
      </c>
      <c r="L43" s="120">
        <f t="shared" si="1"/>
        <v>0.1075</v>
      </c>
      <c r="M43" s="121">
        <f>+Dashboard!$B$36</f>
        <v>1</v>
      </c>
      <c r="N43" s="160">
        <f t="shared" si="4"/>
        <v>8.5450710394860963E-3</v>
      </c>
      <c r="O43" s="64">
        <f t="shared" si="7"/>
        <v>260279.22244285446</v>
      </c>
    </row>
    <row r="44" spans="1:18" outlineLevel="1" x14ac:dyDescent="0.25">
      <c r="A44" s="122">
        <v>37</v>
      </c>
      <c r="B44" s="70">
        <f>IF($D$1="SAC",-'Price x SAC x SACRE'!G43,IF('Base dinâmica'!$D$1="Price",-'Price x SAC x SACRE'!B43,IF('Base dinâmica'!$D$1="sacre",-'Price x SAC x SACRE'!L43,0)))</f>
        <v>-4100.9182743504389</v>
      </c>
      <c r="C44" s="70">
        <f>IF($D$1="SAC",-'Price x SAC x SACRE'!H43,IF('Base dinâmica'!$D$1="Price",-'Price x SAC x SACRE'!C43,IF('Base dinâmica'!$D$1="sacre",-'Price x SAC x SACRE'!M43,0)))</f>
        <v>-192.30673851869386</v>
      </c>
      <c r="D44" s="70">
        <f>IF($D$1="SAC",-'Price x SAC x SACRE'!I43,IF('Base dinâmica'!$D$1="Price",-'Price x SAC x SACRE'!D43,IF('Base dinâmica'!$D$1="sacre",-'Price x SAC x SACRE'!N43,0)))</f>
        <v>-3908.6115358317447</v>
      </c>
      <c r="E44" s="70">
        <f>IF($D$1="SAC",-'Price x SAC x SACRE'!J43,IF('Base dinâmica'!$D$1="Price",-'Price x SAC x SACRE'!E43,IF('Base dinâmica'!$D$1="sacre",-'Price x SAC x SACRE'!O43,0)))</f>
        <v>-411726.42336532206</v>
      </c>
      <c r="F44" s="70">
        <f>+F43*(1+K43)</f>
        <v>12090.235500000032</v>
      </c>
      <c r="G44" s="70">
        <f>+G43*(1+K43)</f>
        <v>-466.52287500000125</v>
      </c>
      <c r="H44" s="70">
        <f>+H41*(1+K43)</f>
        <v>-276.32508750000073</v>
      </c>
      <c r="I44" s="70">
        <f t="shared" si="2"/>
        <v>11347.38753750003</v>
      </c>
      <c r="J44" s="123">
        <f t="shared" si="3"/>
        <v>4.0741237836483535E-3</v>
      </c>
      <c r="K44" s="123">
        <f>+J44</f>
        <v>4.0741237836483535E-3</v>
      </c>
      <c r="L44" s="124">
        <f t="shared" si="1"/>
        <v>0.1075</v>
      </c>
      <c r="M44" s="125">
        <f>+Dashboard!$B$36</f>
        <v>1</v>
      </c>
      <c r="N44" s="160">
        <f t="shared" si="4"/>
        <v>8.5450710394860963E-3</v>
      </c>
      <c r="O44" s="70">
        <f t="shared" si="7"/>
        <v>269749.79615188041</v>
      </c>
    </row>
    <row r="45" spans="1:18" outlineLevel="1" x14ac:dyDescent="0.25">
      <c r="A45" s="122">
        <v>38</v>
      </c>
      <c r="B45" s="70">
        <f>IF($D$1="SAC",-'Price x SAC x SACRE'!G44,IF('Base dinâmica'!$D$1="Price",-'Price x SAC x SACRE'!B44,IF('Base dinâmica'!$D$1="sacre",-'Price x SAC x SACRE'!L44,0)))</f>
        <v>-4100.918274350438</v>
      </c>
      <c r="C45" s="70">
        <f>IF($D$1="SAC",-'Price x SAC x SACRE'!H44,IF('Base dinâmica'!$D$1="Price",-'Price x SAC x SACRE'!C44,IF('Base dinâmica'!$D$1="sacre",-'Price x SAC x SACRE'!M44,0)))</f>
        <v>-194.13149734042275</v>
      </c>
      <c r="D45" s="70">
        <f>IF($D$1="SAC",-'Price x SAC x SACRE'!I44,IF('Base dinâmica'!$D$1="Price",-'Price x SAC x SACRE'!D44,IF('Base dinâmica'!$D$1="sacre",-'Price x SAC x SACRE'!N44,0)))</f>
        <v>-3906.7867770100156</v>
      </c>
      <c r="E45" s="70">
        <f>IF($D$1="SAC",-'Price x SAC x SACRE'!J44,IF('Base dinâmica'!$D$1="Price",-'Price x SAC x SACRE'!E44,IF('Base dinâmica'!$D$1="sacre",-'Price x SAC x SACRE'!O44,0)))</f>
        <v>-411532.29186798161</v>
      </c>
      <c r="F45" s="70">
        <f>+F44</f>
        <v>12090.235500000032</v>
      </c>
      <c r="G45" s="70">
        <f>+G44</f>
        <v>-466.52287500000125</v>
      </c>
      <c r="H45" s="70">
        <f>+H44</f>
        <v>-276.32508750000073</v>
      </c>
      <c r="I45" s="70">
        <f t="shared" si="2"/>
        <v>11347.38753750003</v>
      </c>
      <c r="J45" s="123">
        <f t="shared" si="3"/>
        <v>4.0741237836483535E-3</v>
      </c>
      <c r="K45" s="123">
        <f>((+K44+1)*(J45+1))-1</f>
        <v>8.1648460519012644E-3</v>
      </c>
      <c r="L45" s="124">
        <f t="shared" si="1"/>
        <v>0.1075</v>
      </c>
      <c r="M45" s="125">
        <f>+Dashboard!$B$36</f>
        <v>1</v>
      </c>
      <c r="N45" s="160">
        <f t="shared" si="4"/>
        <v>8.5450710394860963E-3</v>
      </c>
      <c r="O45" s="70">
        <f t="shared" si="7"/>
        <v>279301.29658603464</v>
      </c>
    </row>
    <row r="46" spans="1:18" outlineLevel="1" x14ac:dyDescent="0.25">
      <c r="A46" s="122">
        <v>39</v>
      </c>
      <c r="B46" s="70">
        <f>IF($D$1="SAC",-'Price x SAC x SACRE'!G45,IF('Base dinâmica'!$D$1="Price",-'Price x SAC x SACRE'!B45,IF('Base dinâmica'!$D$1="sacre",-'Price x SAC x SACRE'!L45,0)))</f>
        <v>-4100.918274350438</v>
      </c>
      <c r="C46" s="70">
        <f>IF($D$1="SAC",-'Price x SAC x SACRE'!H45,IF('Base dinâmica'!$D$1="Price",-'Price x SAC x SACRE'!C45,IF('Base dinâmica'!$D$1="sacre",-'Price x SAC x SACRE'!M45,0)))</f>
        <v>-195.97357092076655</v>
      </c>
      <c r="D46" s="70">
        <f>IF($D$1="SAC",-'Price x SAC x SACRE'!I45,IF('Base dinâmica'!$D$1="Price",-'Price x SAC x SACRE'!D45,IF('Base dinâmica'!$D$1="sacre",-'Price x SAC x SACRE'!N45,0)))</f>
        <v>-3904.9447034296718</v>
      </c>
      <c r="E46" s="70">
        <f>IF($D$1="SAC",-'Price x SAC x SACRE'!J45,IF('Base dinâmica'!$D$1="Price",-'Price x SAC x SACRE'!E45,IF('Base dinâmica'!$D$1="sacre",-'Price x SAC x SACRE'!O45,0)))</f>
        <v>-411336.31829706085</v>
      </c>
      <c r="F46" s="70">
        <f t="shared" ref="F46:F54" si="16">+F45</f>
        <v>12090.235500000032</v>
      </c>
      <c r="G46" s="70">
        <f t="shared" ref="G46:G54" si="17">+G45</f>
        <v>-466.52287500000125</v>
      </c>
      <c r="H46" s="70">
        <f t="shared" ref="H46:H53" si="18">+H45</f>
        <v>-276.32508750000073</v>
      </c>
      <c r="I46" s="70">
        <f t="shared" si="2"/>
        <v>11347.38753750003</v>
      </c>
      <c r="J46" s="123">
        <f t="shared" si="3"/>
        <v>4.0741237836483535E-3</v>
      </c>
      <c r="K46" s="123">
        <f t="shared" ref="K46:K55" si="19">((+K45+1)*(J46+1))-1</f>
        <v>1.2272234429039575E-2</v>
      </c>
      <c r="L46" s="124">
        <f t="shared" si="1"/>
        <v>0.1075</v>
      </c>
      <c r="M46" s="125">
        <f>+Dashboard!$B$36</f>
        <v>1</v>
      </c>
      <c r="N46" s="160">
        <f t="shared" si="4"/>
        <v>8.5450710394860963E-3</v>
      </c>
      <c r="O46" s="70">
        <f t="shared" si="7"/>
        <v>288934.41526993242</v>
      </c>
    </row>
    <row r="47" spans="1:18" outlineLevel="1" x14ac:dyDescent="0.25">
      <c r="A47" s="122">
        <v>40</v>
      </c>
      <c r="B47" s="70">
        <f>IF($D$1="SAC",-'Price x SAC x SACRE'!G46,IF('Base dinâmica'!$D$1="Price",-'Price x SAC x SACRE'!B46,IF('Base dinâmica'!$D$1="sacre",-'Price x SAC x SACRE'!L46,0)))</f>
        <v>-4100.918274350438</v>
      </c>
      <c r="C47" s="70">
        <f>IF($D$1="SAC",-'Price x SAC x SACRE'!H46,IF('Base dinâmica'!$D$1="Price",-'Price x SAC x SACRE'!C46,IF('Base dinâmica'!$D$1="sacre",-'Price x SAC x SACRE'!M46,0)))</f>
        <v>-197.83312355588453</v>
      </c>
      <c r="D47" s="70">
        <f>IF($D$1="SAC",-'Price x SAC x SACRE'!I46,IF('Base dinâmica'!$D$1="Price",-'Price x SAC x SACRE'!D46,IF('Base dinâmica'!$D$1="sacre",-'Price x SAC x SACRE'!N46,0)))</f>
        <v>-3903.0851507945536</v>
      </c>
      <c r="E47" s="70">
        <f>IF($D$1="SAC",-'Price x SAC x SACRE'!J46,IF('Base dinâmica'!$D$1="Price",-'Price x SAC x SACRE'!E46,IF('Base dinâmica'!$D$1="sacre",-'Price x SAC x SACRE'!O46,0)))</f>
        <v>-411138.48517350497</v>
      </c>
      <c r="F47" s="70">
        <f t="shared" si="16"/>
        <v>12090.235500000032</v>
      </c>
      <c r="G47" s="70">
        <f t="shared" si="17"/>
        <v>-466.52287500000125</v>
      </c>
      <c r="H47" s="70">
        <f t="shared" si="18"/>
        <v>-276.32508750000073</v>
      </c>
      <c r="I47" s="70">
        <f t="shared" si="2"/>
        <v>11347.38753750003</v>
      </c>
      <c r="J47" s="123">
        <f t="shared" si="3"/>
        <v>4.0741237836483535E-3</v>
      </c>
      <c r="K47" s="123">
        <f t="shared" si="19"/>
        <v>1.6396356814853741E-2</v>
      </c>
      <c r="L47" s="124">
        <f t="shared" si="1"/>
        <v>0.1075</v>
      </c>
      <c r="M47" s="125">
        <f>+Dashboard!$B$36</f>
        <v>1</v>
      </c>
      <c r="N47" s="160">
        <f t="shared" si="4"/>
        <v>8.5450710394860963E-3</v>
      </c>
      <c r="O47" s="70">
        <f t="shared" si="7"/>
        <v>298649.8496373159</v>
      </c>
    </row>
    <row r="48" spans="1:18" s="111" customFormat="1" outlineLevel="1" x14ac:dyDescent="0.25">
      <c r="A48" s="122">
        <v>41</v>
      </c>
      <c r="B48" s="70">
        <f>IF($D$1="SAC",-'Price x SAC x SACRE'!G47,IF('Base dinâmica'!$D$1="Price",-'Price x SAC x SACRE'!B47,IF('Base dinâmica'!$D$1="sacre",-'Price x SAC x SACRE'!L47,0)))</f>
        <v>-4100.9182743504389</v>
      </c>
      <c r="C48" s="70">
        <f>IF($D$1="SAC",-'Price x SAC x SACRE'!H47,IF('Base dinâmica'!$D$1="Price",-'Price x SAC x SACRE'!C47,IF('Base dinâmica'!$D$1="sacre",-'Price x SAC x SACRE'!M47,0)))</f>
        <v>-199.71032110090809</v>
      </c>
      <c r="D48" s="70">
        <f>IF($D$1="SAC",-'Price x SAC x SACRE'!I47,IF('Base dinâmica'!$D$1="Price",-'Price x SAC x SACRE'!D47,IF('Base dinâmica'!$D$1="sacre",-'Price x SAC x SACRE'!N47,0)))</f>
        <v>-3901.2079532495304</v>
      </c>
      <c r="E48" s="70">
        <f>IF($D$1="SAC",-'Price x SAC x SACRE'!J47,IF('Base dinâmica'!$D$1="Price",-'Price x SAC x SACRE'!E47,IF('Base dinâmica'!$D$1="sacre",-'Price x SAC x SACRE'!O47,0)))</f>
        <v>-410938.77485240408</v>
      </c>
      <c r="F48" s="70">
        <f t="shared" si="16"/>
        <v>12090.235500000032</v>
      </c>
      <c r="G48" s="70">
        <f t="shared" si="17"/>
        <v>-466.52287500000125</v>
      </c>
      <c r="H48" s="70">
        <f t="shared" si="18"/>
        <v>-276.32508750000073</v>
      </c>
      <c r="I48" s="70">
        <f t="shared" si="2"/>
        <v>11347.38753750003</v>
      </c>
      <c r="J48" s="123">
        <f t="shared" si="3"/>
        <v>4.0741237836483535E-3</v>
      </c>
      <c r="K48" s="123">
        <f t="shared" si="19"/>
        <v>2.0537281385766715E-2</v>
      </c>
      <c r="L48" s="124">
        <f t="shared" si="1"/>
        <v>0.1075</v>
      </c>
      <c r="M48" s="125">
        <f>+Dashboard!$B$36</f>
        <v>1</v>
      </c>
      <c r="N48" s="160">
        <f t="shared" si="4"/>
        <v>8.5450710394860963E-3</v>
      </c>
      <c r="O48" s="70">
        <f t="shared" si="7"/>
        <v>308448.30308154813</v>
      </c>
      <c r="Q48" s="6"/>
      <c r="R48" s="6"/>
    </row>
    <row r="49" spans="1:18" outlineLevel="1" x14ac:dyDescent="0.25">
      <c r="A49" s="122">
        <v>42</v>
      </c>
      <c r="B49" s="70">
        <f>IF($D$1="SAC",-'Price x SAC x SACRE'!G48,IF('Base dinâmica'!$D$1="Price",-'Price x SAC x SACRE'!B48,IF('Base dinâmica'!$D$1="sacre",-'Price x SAC x SACRE'!L48,0)))</f>
        <v>-4100.9182743504389</v>
      </c>
      <c r="C49" s="70">
        <f>IF($D$1="SAC",-'Price x SAC x SACRE'!H48,IF('Base dinâmica'!$D$1="Price",-'Price x SAC x SACRE'!C48,IF('Base dinâmica'!$D$1="sacre",-'Price x SAC x SACRE'!M48,0)))</f>
        <v>-201.6053309847338</v>
      </c>
      <c r="D49" s="70">
        <f>IF($D$1="SAC",-'Price x SAC x SACRE'!I48,IF('Base dinâmica'!$D$1="Price",-'Price x SAC x SACRE'!D48,IF('Base dinâmica'!$D$1="sacre",-'Price x SAC x SACRE'!N48,0)))</f>
        <v>-3899.312943365705</v>
      </c>
      <c r="E49" s="70">
        <f>IF($D$1="SAC",-'Price x SAC x SACRE'!J48,IF('Base dinâmica'!$D$1="Price",-'Price x SAC x SACRE'!E48,IF('Base dinâmica'!$D$1="sacre",-'Price x SAC x SACRE'!O48,0)))</f>
        <v>-410737.16952141933</v>
      </c>
      <c r="F49" s="70">
        <f t="shared" si="16"/>
        <v>12090.235500000032</v>
      </c>
      <c r="G49" s="70">
        <f t="shared" si="17"/>
        <v>-466.52287500000125</v>
      </c>
      <c r="H49" s="70">
        <f t="shared" si="18"/>
        <v>-276.32508750000073</v>
      </c>
      <c r="I49" s="70">
        <f t="shared" si="2"/>
        <v>11347.38753750003</v>
      </c>
      <c r="J49" s="123">
        <f t="shared" si="3"/>
        <v>4.0741237836483535E-3</v>
      </c>
      <c r="K49" s="123">
        <f t="shared" si="19"/>
        <v>2.4695076595960375E-2</v>
      </c>
      <c r="L49" s="124">
        <f t="shared" si="1"/>
        <v>0.1075</v>
      </c>
      <c r="M49" s="125">
        <f>+Dashboard!$B$36</f>
        <v>1</v>
      </c>
      <c r="N49" s="160">
        <f t="shared" si="4"/>
        <v>8.5450710394860963E-3</v>
      </c>
      <c r="O49" s="70">
        <f t="shared" si="7"/>
        <v>318330.48500653845</v>
      </c>
    </row>
    <row r="50" spans="1:18" outlineLevel="1" x14ac:dyDescent="0.25">
      <c r="A50" s="122">
        <v>43</v>
      </c>
      <c r="B50" s="70">
        <f>IF($D$1="SAC",-'Price x SAC x SACRE'!G49,IF('Base dinâmica'!$D$1="Price",-'Price x SAC x SACRE'!B49,IF('Base dinâmica'!$D$1="sacre",-'Price x SAC x SACRE'!L49,0)))</f>
        <v>-4100.918274350438</v>
      </c>
      <c r="C50" s="70">
        <f>IF($D$1="SAC",-'Price x SAC x SACRE'!H49,IF('Base dinâmica'!$D$1="Price",-'Price x SAC x SACRE'!C49,IF('Base dinâmica'!$D$1="sacre",-'Price x SAC x SACRE'!M49,0)))</f>
        <v>-203.51832222495599</v>
      </c>
      <c r="D50" s="70">
        <f>IF($D$1="SAC",-'Price x SAC x SACRE'!I49,IF('Base dinâmica'!$D$1="Price",-'Price x SAC x SACRE'!D49,IF('Base dinâmica'!$D$1="sacre",-'Price x SAC x SACRE'!N49,0)))</f>
        <v>-3897.3999521254823</v>
      </c>
      <c r="E50" s="70">
        <f>IF($D$1="SAC",-'Price x SAC x SACRE'!J49,IF('Base dinâmica'!$D$1="Price",-'Price x SAC x SACRE'!E49,IF('Base dinâmica'!$D$1="sacre",-'Price x SAC x SACRE'!O49,0)))</f>
        <v>-410533.65119919437</v>
      </c>
      <c r="F50" s="70">
        <f t="shared" si="16"/>
        <v>12090.235500000032</v>
      </c>
      <c r="G50" s="70">
        <f t="shared" si="17"/>
        <v>-466.52287500000125</v>
      </c>
      <c r="H50" s="70">
        <f t="shared" si="18"/>
        <v>-276.32508750000073</v>
      </c>
      <c r="I50" s="70">
        <f t="shared" si="2"/>
        <v>11347.38753750003</v>
      </c>
      <c r="J50" s="123">
        <f t="shared" si="3"/>
        <v>4.0741237836483535E-3</v>
      </c>
      <c r="K50" s="123">
        <f t="shared" si="19"/>
        <v>2.8869811178507288E-2</v>
      </c>
      <c r="L50" s="124">
        <f t="shared" si="1"/>
        <v>0.1075</v>
      </c>
      <c r="M50" s="125">
        <f>+Dashboard!$B$36</f>
        <v>1</v>
      </c>
      <c r="N50" s="160">
        <f t="shared" si="4"/>
        <v>8.5450710394860963E-3</v>
      </c>
      <c r="O50" s="70">
        <f t="shared" si="7"/>
        <v>328297.11087810295</v>
      </c>
    </row>
    <row r="51" spans="1:18" outlineLevel="1" x14ac:dyDescent="0.25">
      <c r="A51" s="122">
        <v>44</v>
      </c>
      <c r="B51" s="70">
        <f>IF($D$1="SAC",-'Price x SAC x SACRE'!G50,IF('Base dinâmica'!$D$1="Price",-'Price x SAC x SACRE'!B50,IF('Base dinâmica'!$D$1="sacre",-'Price x SAC x SACRE'!L50,0)))</f>
        <v>-4100.9182743504389</v>
      </c>
      <c r="C51" s="70">
        <f>IF($D$1="SAC",-'Price x SAC x SACRE'!H50,IF('Base dinâmica'!$D$1="Price",-'Price x SAC x SACRE'!C50,IF('Base dinâmica'!$D$1="sacre",-'Price x SAC x SACRE'!M50,0)))</f>
        <v>-205.44946544294231</v>
      </c>
      <c r="D51" s="70">
        <f>IF($D$1="SAC",-'Price x SAC x SACRE'!I50,IF('Base dinâmica'!$D$1="Price",-'Price x SAC x SACRE'!D50,IF('Base dinâmica'!$D$1="sacre",-'Price x SAC x SACRE'!N50,0)))</f>
        <v>-3895.4688089074962</v>
      </c>
      <c r="E51" s="70">
        <f>IF($D$1="SAC",-'Price x SAC x SACRE'!J50,IF('Base dinâmica'!$D$1="Price",-'Price x SAC x SACRE'!E50,IF('Base dinâmica'!$D$1="sacre",-'Price x SAC x SACRE'!O50,0)))</f>
        <v>-410328.20173375146</v>
      </c>
      <c r="F51" s="70">
        <f t="shared" si="16"/>
        <v>12090.235500000032</v>
      </c>
      <c r="G51" s="70">
        <f t="shared" si="17"/>
        <v>-466.52287500000125</v>
      </c>
      <c r="H51" s="70">
        <f t="shared" si="18"/>
        <v>-276.32508750000073</v>
      </c>
      <c r="I51" s="70">
        <f t="shared" si="2"/>
        <v>11347.38753750003</v>
      </c>
      <c r="J51" s="123">
        <f t="shared" si="3"/>
        <v>4.0741237836483535E-3</v>
      </c>
      <c r="K51" s="123">
        <f t="shared" si="19"/>
        <v>3.3061554146507355E-2</v>
      </c>
      <c r="L51" s="124">
        <f t="shared" si="1"/>
        <v>0.1075</v>
      </c>
      <c r="M51" s="125">
        <f>+Dashboard!$B$36</f>
        <v>1</v>
      </c>
      <c r="N51" s="160">
        <f t="shared" si="4"/>
        <v>8.5450710394860963E-3</v>
      </c>
      <c r="O51" s="70">
        <f t="shared" si="7"/>
        <v>338348.90227576392</v>
      </c>
    </row>
    <row r="52" spans="1:18" outlineLevel="1" x14ac:dyDescent="0.25">
      <c r="A52" s="122">
        <v>45</v>
      </c>
      <c r="B52" s="70">
        <f>IF($D$1="SAC",-'Price x SAC x SACRE'!G51,IF('Base dinâmica'!$D$1="Price",-'Price x SAC x SACRE'!B51,IF('Base dinâmica'!$D$1="sacre",-'Price x SAC x SACRE'!L51,0)))</f>
        <v>-4100.9182743504389</v>
      </c>
      <c r="C52" s="70">
        <f>IF($D$1="SAC",-'Price x SAC x SACRE'!H51,IF('Base dinâmica'!$D$1="Price",-'Price x SAC x SACRE'!C51,IF('Base dinâmica'!$D$1="sacre",-'Price x SAC x SACRE'!M51,0)))</f>
        <v>-207.39893287905119</v>
      </c>
      <c r="D52" s="70">
        <f>IF($D$1="SAC",-'Price x SAC x SACRE'!I51,IF('Base dinâmica'!$D$1="Price",-'Price x SAC x SACRE'!D51,IF('Base dinâmica'!$D$1="sacre",-'Price x SAC x SACRE'!N51,0)))</f>
        <v>-3893.5193414713876</v>
      </c>
      <c r="E52" s="70">
        <f>IF($D$1="SAC",-'Price x SAC x SACRE'!J51,IF('Base dinâmica'!$D$1="Price",-'Price x SAC x SACRE'!E51,IF('Base dinâmica'!$D$1="sacre",-'Price x SAC x SACRE'!O51,0)))</f>
        <v>-410120.80280087242</v>
      </c>
      <c r="F52" s="70">
        <f t="shared" si="16"/>
        <v>12090.235500000032</v>
      </c>
      <c r="G52" s="70">
        <f t="shared" si="17"/>
        <v>-466.52287500000125</v>
      </c>
      <c r="H52" s="70">
        <f t="shared" si="18"/>
        <v>-276.32508750000073</v>
      </c>
      <c r="I52" s="70">
        <f t="shared" si="2"/>
        <v>11347.38753750003</v>
      </c>
      <c r="J52" s="123">
        <f t="shared" si="3"/>
        <v>4.0741237836483535E-3</v>
      </c>
      <c r="K52" s="123">
        <f t="shared" si="19"/>
        <v>3.7270374794228456E-2</v>
      </c>
      <c r="L52" s="124">
        <f t="shared" si="1"/>
        <v>0.1075</v>
      </c>
      <c r="M52" s="125">
        <f>+Dashboard!$B$36</f>
        <v>1</v>
      </c>
      <c r="N52" s="160">
        <f t="shared" si="4"/>
        <v>8.5450710394860963E-3</v>
      </c>
      <c r="O52" s="70">
        <f t="shared" si="7"/>
        <v>348486.58694499201</v>
      </c>
    </row>
    <row r="53" spans="1:18" s="111" customFormat="1" outlineLevel="1" x14ac:dyDescent="0.25">
      <c r="A53" s="122">
        <v>46</v>
      </c>
      <c r="B53" s="70">
        <f>IF($D$1="SAC",-'Price x SAC x SACRE'!G52,IF('Base dinâmica'!$D$1="Price",-'Price x SAC x SACRE'!B52,IF('Base dinâmica'!$D$1="sacre",-'Price x SAC x SACRE'!L52,0)))</f>
        <v>-4100.9182743504389</v>
      </c>
      <c r="C53" s="70">
        <f>IF($D$1="SAC",-'Price x SAC x SACRE'!H52,IF('Base dinâmica'!$D$1="Price",-'Price x SAC x SACRE'!C52,IF('Base dinâmica'!$D$1="sacre",-'Price x SAC x SACRE'!M52,0)))</f>
        <v>-209.36689840799397</v>
      </c>
      <c r="D53" s="70">
        <f>IF($D$1="SAC",-'Price x SAC x SACRE'!I52,IF('Base dinâmica'!$D$1="Price",-'Price x SAC x SACRE'!D52,IF('Base dinâmica'!$D$1="sacre",-'Price x SAC x SACRE'!N52,0)))</f>
        <v>-3891.5513759424448</v>
      </c>
      <c r="E53" s="70">
        <f>IF($D$1="SAC",-'Price x SAC x SACRE'!J52,IF('Base dinâmica'!$D$1="Price",-'Price x SAC x SACRE'!E52,IF('Base dinâmica'!$D$1="sacre",-'Price x SAC x SACRE'!O52,0)))</f>
        <v>-409911.43590246444</v>
      </c>
      <c r="F53" s="70">
        <f t="shared" si="16"/>
        <v>12090.235500000032</v>
      </c>
      <c r="G53" s="70">
        <f t="shared" si="17"/>
        <v>-466.52287500000125</v>
      </c>
      <c r="H53" s="70">
        <f t="shared" si="18"/>
        <v>-276.32508750000073</v>
      </c>
      <c r="I53" s="70">
        <f t="shared" si="2"/>
        <v>11347.38753750003</v>
      </c>
      <c r="J53" s="123">
        <f t="shared" si="3"/>
        <v>4.0741237836483535E-3</v>
      </c>
      <c r="K53" s="123">
        <f t="shared" si="19"/>
        <v>4.1496342698251532E-2</v>
      </c>
      <c r="L53" s="124">
        <f t="shared" si="1"/>
        <v>0.1075</v>
      </c>
      <c r="M53" s="125">
        <f>+Dashboard!$B$36</f>
        <v>1</v>
      </c>
      <c r="N53" s="160">
        <f t="shared" si="4"/>
        <v>8.5450710394860963E-3</v>
      </c>
      <c r="O53" s="70">
        <f t="shared" si="7"/>
        <v>358710.89884989458</v>
      </c>
      <c r="Q53" s="6"/>
      <c r="R53" s="6"/>
    </row>
    <row r="54" spans="1:18" s="111" customFormat="1" outlineLevel="1" x14ac:dyDescent="0.25">
      <c r="A54" s="122">
        <v>47</v>
      </c>
      <c r="B54" s="70">
        <f>IF($D$1="SAC",-'Price x SAC x SACRE'!G53,IF('Base dinâmica'!$D$1="Price",-'Price x SAC x SACRE'!B53,IF('Base dinâmica'!$D$1="sacre",-'Price x SAC x SACRE'!L53,0)))</f>
        <v>-4100.9182743504389</v>
      </c>
      <c r="C54" s="70">
        <f>IF($D$1="SAC",-'Price x SAC x SACRE'!H53,IF('Base dinâmica'!$D$1="Price",-'Price x SAC x SACRE'!C53,IF('Base dinâmica'!$D$1="sacre",-'Price x SAC x SACRE'!M53,0)))</f>
        <v>-211.35353755434329</v>
      </c>
      <c r="D54" s="70">
        <f>IF($D$1="SAC",-'Price x SAC x SACRE'!I53,IF('Base dinâmica'!$D$1="Price",-'Price x SAC x SACRE'!D53,IF('Base dinâmica'!$D$1="sacre",-'Price x SAC x SACRE'!N53,0)))</f>
        <v>-3889.5647367960955</v>
      </c>
      <c r="E54" s="70">
        <f>IF($D$1="SAC",-'Price x SAC x SACRE'!J53,IF('Base dinâmica'!$D$1="Price",-'Price x SAC x SACRE'!E53,IF('Base dinâmica'!$D$1="sacre",-'Price x SAC x SACRE'!O53,0)))</f>
        <v>-409700.08236491011</v>
      </c>
      <c r="F54" s="70">
        <f t="shared" si="16"/>
        <v>12090.235500000032</v>
      </c>
      <c r="G54" s="70">
        <f t="shared" si="17"/>
        <v>-466.52287500000125</v>
      </c>
      <c r="H54" s="70">
        <v>0</v>
      </c>
      <c r="I54" s="70">
        <f t="shared" si="2"/>
        <v>11623.712625000031</v>
      </c>
      <c r="J54" s="123">
        <f t="shared" si="3"/>
        <v>4.0741237836483535E-3</v>
      </c>
      <c r="K54" s="123">
        <f t="shared" si="19"/>
        <v>4.573952771862122E-2</v>
      </c>
      <c r="L54" s="124">
        <f t="shared" si="1"/>
        <v>0.1075</v>
      </c>
      <c r="M54" s="125">
        <f>+Dashboard!$B$36</f>
        <v>1</v>
      </c>
      <c r="N54" s="160">
        <f t="shared" si="4"/>
        <v>8.5450710394860963E-3</v>
      </c>
      <c r="O54" s="70">
        <f t="shared" si="7"/>
        <v>369298.90331385442</v>
      </c>
      <c r="Q54" s="6"/>
      <c r="R54" s="6"/>
    </row>
    <row r="55" spans="1:18" s="126" customFormat="1" x14ac:dyDescent="0.25">
      <c r="A55" s="68">
        <v>48</v>
      </c>
      <c r="B55" s="64">
        <f>IF($D$1="SAC",-'Price x SAC x SACRE'!G54,IF('Base dinâmica'!$D$1="Price",-'Price x SAC x SACRE'!B54,IF('Base dinâmica'!$D$1="sacre",-'Price x SAC x SACRE'!L54,0)))</f>
        <v>-4100.9182743504389</v>
      </c>
      <c r="C55" s="64">
        <f>IF($D$1="SAC",-'Price x SAC x SACRE'!H54,IF('Base dinâmica'!$D$1="Price",-'Price x SAC x SACRE'!C54,IF('Base dinâmica'!$D$1="sacre",-'Price x SAC x SACRE'!M54,0)))</f>
        <v>-213.35902750818818</v>
      </c>
      <c r="D55" s="64">
        <f>IF($D$1="SAC",-'Price x SAC x SACRE'!I54,IF('Base dinâmica'!$D$1="Price",-'Price x SAC x SACRE'!D54,IF('Base dinâmica'!$D$1="sacre",-'Price x SAC x SACRE'!N54,0)))</f>
        <v>-3887.559246842251</v>
      </c>
      <c r="E55" s="64">
        <f>IF($D$1="SAC",-'Price x SAC x SACRE'!J54,IF('Base dinâmica'!$D$1="Price",-'Price x SAC x SACRE'!E54,IF('Base dinâmica'!$D$1="sacre",-'Price x SAC x SACRE'!O54,0)))</f>
        <v>-409486.72333740193</v>
      </c>
      <c r="F55" s="64">
        <f>+F54</f>
        <v>12090.235500000032</v>
      </c>
      <c r="G55" s="64">
        <f>+G54</f>
        <v>-466.52287500000125</v>
      </c>
      <c r="H55" s="64">
        <v>0</v>
      </c>
      <c r="I55" s="64">
        <f t="shared" si="2"/>
        <v>11623.712625000031</v>
      </c>
      <c r="J55" s="119">
        <f t="shared" si="3"/>
        <v>4.0741237836483535E-3</v>
      </c>
      <c r="K55" s="119">
        <f t="shared" si="19"/>
        <v>5.0000000000000933E-2</v>
      </c>
      <c r="L55" s="120">
        <f t="shared" si="1"/>
        <v>0.1075</v>
      </c>
      <c r="M55" s="121">
        <f>+Dashboard!$B$36</f>
        <v>1</v>
      </c>
      <c r="N55" s="160">
        <f t="shared" si="4"/>
        <v>8.5450710394860963E-3</v>
      </c>
      <c r="O55" s="64">
        <f t="shared" si="7"/>
        <v>379977.38302812522</v>
      </c>
      <c r="Q55" s="53"/>
      <c r="R55" s="53"/>
    </row>
    <row r="56" spans="1:18" s="111" customFormat="1" outlineLevel="1" x14ac:dyDescent="0.25">
      <c r="A56" s="122">
        <v>49</v>
      </c>
      <c r="B56" s="70">
        <f>IF($D$1="SAC",-'Price x SAC x SACRE'!G55,IF('Base dinâmica'!$D$1="Price",-'Price x SAC x SACRE'!B55,IF('Base dinâmica'!$D$1="sacre",-'Price x SAC x SACRE'!L55,0)))</f>
        <v>-4100.9182743504389</v>
      </c>
      <c r="C56" s="70">
        <f>IF($D$1="SAC",-'Price x SAC x SACRE'!H55,IF('Base dinâmica'!$D$1="Price",-'Price x SAC x SACRE'!C55,IF('Base dinâmica'!$D$1="sacre",-'Price x SAC x SACRE'!M55,0)))</f>
        <v>-215.38354714093734</v>
      </c>
      <c r="D56" s="70">
        <f>IF($D$1="SAC",-'Price x SAC x SACRE'!I55,IF('Base dinâmica'!$D$1="Price",-'Price x SAC x SACRE'!D55,IF('Base dinâmica'!$D$1="sacre",-'Price x SAC x SACRE'!N55,0)))</f>
        <v>-3885.5347272095019</v>
      </c>
      <c r="E56" s="70">
        <f>IF($D$1="SAC",-'Price x SAC x SACRE'!J55,IF('Base dinâmica'!$D$1="Price",-'Price x SAC x SACRE'!E55,IF('Base dinâmica'!$D$1="sacre",-'Price x SAC x SACRE'!O55,0)))</f>
        <v>-409271.339790261</v>
      </c>
      <c r="F56" s="70">
        <f>+F55*(1+K55)</f>
        <v>12694.747275000045</v>
      </c>
      <c r="G56" s="70">
        <f>+G55*(1+K55)</f>
        <v>-489.84901875000173</v>
      </c>
      <c r="H56" s="70">
        <f>+H53*(1+K55)</f>
        <v>-290.14134187500105</v>
      </c>
      <c r="I56" s="70">
        <f t="shared" si="2"/>
        <v>11914.756914375042</v>
      </c>
      <c r="J56" s="123">
        <f t="shared" si="3"/>
        <v>4.0741237836483535E-3</v>
      </c>
      <c r="K56" s="123">
        <f>+J56</f>
        <v>4.0741237836483535E-3</v>
      </c>
      <c r="L56" s="124">
        <f t="shared" si="1"/>
        <v>0.1075</v>
      </c>
      <c r="M56" s="125">
        <f>+Dashboard!$B$36</f>
        <v>1</v>
      </c>
      <c r="N56" s="160">
        <f t="shared" si="4"/>
        <v>8.5450710394860963E-3</v>
      </c>
      <c r="O56" s="70">
        <f t="shared" si="7"/>
        <v>391038.15539952315</v>
      </c>
      <c r="Q56" s="6"/>
      <c r="R56" s="6"/>
    </row>
    <row r="57" spans="1:18" s="111" customFormat="1" outlineLevel="1" x14ac:dyDescent="0.25">
      <c r="A57" s="122">
        <v>50</v>
      </c>
      <c r="B57" s="70">
        <f>IF($D$1="SAC",-'Price x SAC x SACRE'!G56,IF('Base dinâmica'!$D$1="Price",-'Price x SAC x SACRE'!B56,IF('Base dinâmica'!$D$1="sacre",-'Price x SAC x SACRE'!L56,0)))</f>
        <v>-4100.9182743504389</v>
      </c>
      <c r="C57" s="70">
        <f>IF($D$1="SAC",-'Price x SAC x SACRE'!H56,IF('Base dinâmica'!$D$1="Price",-'Price x SAC x SACRE'!C56,IF('Base dinâmica'!$D$1="sacre",-'Price x SAC x SACRE'!M56,0)))</f>
        <v>-217.42727702127368</v>
      </c>
      <c r="D57" s="70">
        <f>IF($D$1="SAC",-'Price x SAC x SACRE'!I56,IF('Base dinâmica'!$D$1="Price",-'Price x SAC x SACRE'!D56,IF('Base dinâmica'!$D$1="sacre",-'Price x SAC x SACRE'!N56,0)))</f>
        <v>-3883.4909973291656</v>
      </c>
      <c r="E57" s="70">
        <f>IF($D$1="SAC",-'Price x SAC x SACRE'!J56,IF('Base dinâmica'!$D$1="Price",-'Price x SAC x SACRE'!E56,IF('Base dinâmica'!$D$1="sacre",-'Price x SAC x SACRE'!O56,0)))</f>
        <v>-409053.91251323972</v>
      </c>
      <c r="F57" s="70">
        <f>+F56</f>
        <v>12694.747275000045</v>
      </c>
      <c r="G57" s="70">
        <f>+G56</f>
        <v>-489.84901875000173</v>
      </c>
      <c r="H57" s="70">
        <f>+H56</f>
        <v>-290.14134187500105</v>
      </c>
      <c r="I57" s="70">
        <f t="shared" si="2"/>
        <v>11914.756914375042</v>
      </c>
      <c r="J57" s="123">
        <f t="shared" si="3"/>
        <v>4.0741237836483535E-3</v>
      </c>
      <c r="K57" s="123">
        <f>((+K56+1)*(J57+1))-1</f>
        <v>8.1648460519012644E-3</v>
      </c>
      <c r="L57" s="124">
        <f t="shared" si="1"/>
        <v>0.1075</v>
      </c>
      <c r="M57" s="125">
        <f>+Dashboard!$B$36</f>
        <v>1</v>
      </c>
      <c r="N57" s="160">
        <f t="shared" si="4"/>
        <v>8.5450710394860963E-3</v>
      </c>
      <c r="O57" s="70">
        <f t="shared" si="7"/>
        <v>402193.44285658625</v>
      </c>
      <c r="Q57" s="6"/>
      <c r="R57" s="6"/>
    </row>
    <row r="58" spans="1:18" s="111" customFormat="1" outlineLevel="1" x14ac:dyDescent="0.25">
      <c r="A58" s="122">
        <v>51</v>
      </c>
      <c r="B58" s="70">
        <f>IF($D$1="SAC",-'Price x SAC x SACRE'!G57,IF('Base dinâmica'!$D$1="Price",-'Price x SAC x SACRE'!B57,IF('Base dinâmica'!$D$1="sacre",-'Price x SAC x SACRE'!L57,0)))</f>
        <v>-4100.9182743504389</v>
      </c>
      <c r="C58" s="70">
        <f>IF($D$1="SAC",-'Price x SAC x SACRE'!H57,IF('Base dinâmica'!$D$1="Price",-'Price x SAC x SACRE'!C57,IF('Base dinâmica'!$D$1="sacre",-'Price x SAC x SACRE'!M57,0)))</f>
        <v>-219.49039943125879</v>
      </c>
      <c r="D58" s="70">
        <f>IF($D$1="SAC",-'Price x SAC x SACRE'!I57,IF('Base dinâmica'!$D$1="Price",-'Price x SAC x SACRE'!D57,IF('Base dinâmica'!$D$1="sacre",-'Price x SAC x SACRE'!N57,0)))</f>
        <v>-3881.4278749191803</v>
      </c>
      <c r="E58" s="70">
        <f>IF($D$1="SAC",-'Price x SAC x SACRE'!J57,IF('Base dinâmica'!$D$1="Price",-'Price x SAC x SACRE'!E57,IF('Base dinâmica'!$D$1="sacre",-'Price x SAC x SACRE'!O57,0)))</f>
        <v>-408834.42211380845</v>
      </c>
      <c r="F58" s="70">
        <f t="shared" ref="F58:F66" si="20">+F57</f>
        <v>12694.747275000045</v>
      </c>
      <c r="G58" s="70">
        <f t="shared" ref="G58:G66" si="21">+G57</f>
        <v>-489.84901875000173</v>
      </c>
      <c r="H58" s="70">
        <f t="shared" ref="H58:H65" si="22">+H57</f>
        <v>-290.14134187500105</v>
      </c>
      <c r="I58" s="70">
        <f t="shared" si="2"/>
        <v>11914.756914375042</v>
      </c>
      <c r="J58" s="123">
        <f t="shared" si="3"/>
        <v>4.0741237836483535E-3</v>
      </c>
      <c r="K58" s="123">
        <f t="shared" ref="K58:K67" si="23">((+K57+1)*(J58+1))-1</f>
        <v>1.2272234429039575E-2</v>
      </c>
      <c r="L58" s="124">
        <f t="shared" si="1"/>
        <v>0.1075</v>
      </c>
      <c r="M58" s="125">
        <f>+Dashboard!$B$36</f>
        <v>1</v>
      </c>
      <c r="N58" s="160">
        <f t="shared" si="4"/>
        <v>8.5450710394860963E-3</v>
      </c>
      <c r="O58" s="70">
        <f t="shared" si="7"/>
        <v>413444.05303743586</v>
      </c>
      <c r="Q58" s="6"/>
      <c r="R58" s="6"/>
    </row>
    <row r="59" spans="1:18" outlineLevel="1" x14ac:dyDescent="0.25">
      <c r="A59" s="122">
        <v>52</v>
      </c>
      <c r="B59" s="70">
        <f>IF($D$1="SAC",-'Price x SAC x SACRE'!G58,IF('Base dinâmica'!$D$1="Price",-'Price x SAC x SACRE'!B58,IF('Base dinâmica'!$D$1="sacre",-'Price x SAC x SACRE'!L58,0)))</f>
        <v>-4100.9182743504389</v>
      </c>
      <c r="C59" s="70">
        <f>IF($D$1="SAC",-'Price x SAC x SACRE'!H58,IF('Base dinâmica'!$D$1="Price",-'Price x SAC x SACRE'!C58,IF('Base dinâmica'!$D$1="sacre",-'Price x SAC x SACRE'!M58,0)))</f>
        <v>-221.5730983825909</v>
      </c>
      <c r="D59" s="70">
        <f>IF($D$1="SAC",-'Price x SAC x SACRE'!I58,IF('Base dinâmica'!$D$1="Price",-'Price x SAC x SACRE'!D58,IF('Base dinâmica'!$D$1="sacre",-'Price x SAC x SACRE'!N58,0)))</f>
        <v>-3879.3451759678483</v>
      </c>
      <c r="E59" s="70">
        <f>IF($D$1="SAC",-'Price x SAC x SACRE'!J58,IF('Base dinâmica'!$D$1="Price",-'Price x SAC x SACRE'!E58,IF('Base dinâmica'!$D$1="sacre",-'Price x SAC x SACRE'!O58,0)))</f>
        <v>-408612.84901542589</v>
      </c>
      <c r="F59" s="70">
        <f t="shared" si="20"/>
        <v>12694.747275000045</v>
      </c>
      <c r="G59" s="70">
        <f t="shared" si="21"/>
        <v>-489.84901875000173</v>
      </c>
      <c r="H59" s="70">
        <f t="shared" si="22"/>
        <v>-290.14134187500105</v>
      </c>
      <c r="I59" s="70">
        <f t="shared" si="2"/>
        <v>11914.756914375042</v>
      </c>
      <c r="J59" s="123">
        <f t="shared" si="3"/>
        <v>4.0741237836483535E-3</v>
      </c>
      <c r="K59" s="123">
        <f t="shared" si="23"/>
        <v>1.6396356814853741E-2</v>
      </c>
      <c r="L59" s="124">
        <f t="shared" si="1"/>
        <v>0.1075</v>
      </c>
      <c r="M59" s="125">
        <f>+Dashboard!$B$36</f>
        <v>1</v>
      </c>
      <c r="N59" s="160">
        <f t="shared" si="4"/>
        <v>8.5450710394860963E-3</v>
      </c>
      <c r="O59" s="70">
        <f t="shared" si="7"/>
        <v>424790.80048151838</v>
      </c>
    </row>
    <row r="60" spans="1:18" outlineLevel="1" x14ac:dyDescent="0.25">
      <c r="A60" s="122">
        <v>53</v>
      </c>
      <c r="B60" s="70">
        <f>IF($D$1="SAC",-'Price x SAC x SACRE'!G59,IF('Base dinâmica'!$D$1="Price",-'Price x SAC x SACRE'!B59,IF('Base dinâmica'!$D$1="sacre",-'Price x SAC x SACRE'!L59,0)))</f>
        <v>-4100.9182743504398</v>
      </c>
      <c r="C60" s="70">
        <f>IF($D$1="SAC",-'Price x SAC x SACRE'!H59,IF('Base dinâmica'!$D$1="Price",-'Price x SAC x SACRE'!C59,IF('Base dinâmica'!$D$1="sacre",-'Price x SAC x SACRE'!M59,0)))</f>
        <v>-223.67555963301729</v>
      </c>
      <c r="D60" s="70">
        <f>IF($D$1="SAC",-'Price x SAC x SACRE'!I59,IF('Base dinâmica'!$D$1="Price",-'Price x SAC x SACRE'!D59,IF('Base dinâmica'!$D$1="sacre",-'Price x SAC x SACRE'!N59,0)))</f>
        <v>-3877.2427147174221</v>
      </c>
      <c r="E60" s="70">
        <f>IF($D$1="SAC",-'Price x SAC x SACRE'!J59,IF('Base dinâmica'!$D$1="Price",-'Price x SAC x SACRE'!E59,IF('Base dinâmica'!$D$1="sacre",-'Price x SAC x SACRE'!O59,0)))</f>
        <v>-408389.17345579289</v>
      </c>
      <c r="F60" s="70">
        <f t="shared" si="20"/>
        <v>12694.747275000045</v>
      </c>
      <c r="G60" s="70">
        <f t="shared" si="21"/>
        <v>-489.84901875000173</v>
      </c>
      <c r="H60" s="70">
        <f t="shared" si="22"/>
        <v>-290.14134187500105</v>
      </c>
      <c r="I60" s="70">
        <f t="shared" si="2"/>
        <v>11914.756914375042</v>
      </c>
      <c r="J60" s="123">
        <f t="shared" si="3"/>
        <v>4.0741237836483535E-3</v>
      </c>
      <c r="K60" s="123">
        <f t="shared" si="23"/>
        <v>2.0537281385766715E-2</v>
      </c>
      <c r="L60" s="124">
        <f t="shared" si="1"/>
        <v>0.1075</v>
      </c>
      <c r="M60" s="125">
        <f>+Dashboard!$B$36</f>
        <v>1</v>
      </c>
      <c r="N60" s="160">
        <f t="shared" si="4"/>
        <v>8.5450710394860963E-3</v>
      </c>
      <c r="O60" s="70">
        <f t="shared" si="7"/>
        <v>436234.50668857771</v>
      </c>
    </row>
    <row r="61" spans="1:18" s="111" customFormat="1" outlineLevel="1" x14ac:dyDescent="0.25">
      <c r="A61" s="122">
        <v>54</v>
      </c>
      <c r="B61" s="70">
        <f>IF($D$1="SAC",-'Price x SAC x SACRE'!G60,IF('Base dinâmica'!$D$1="Price",-'Price x SAC x SACRE'!B60,IF('Base dinâmica'!$D$1="sacre",-'Price x SAC x SACRE'!L60,0)))</f>
        <v>-4100.9182743504398</v>
      </c>
      <c r="C61" s="70">
        <f>IF($D$1="SAC",-'Price x SAC x SACRE'!H60,IF('Base dinâmica'!$D$1="Price",-'Price x SAC x SACRE'!C60,IF('Base dinâmica'!$D$1="sacre",-'Price x SAC x SACRE'!M60,0)))</f>
        <v>-225.79797070290198</v>
      </c>
      <c r="D61" s="70">
        <f>IF($D$1="SAC",-'Price x SAC x SACRE'!I60,IF('Base dinâmica'!$D$1="Price",-'Price x SAC x SACRE'!D60,IF('Base dinâmica'!$D$1="sacre",-'Price x SAC x SACRE'!N60,0)))</f>
        <v>-3875.1203036475376</v>
      </c>
      <c r="E61" s="70">
        <f>IF($D$1="SAC",-'Price x SAC x SACRE'!J60,IF('Base dinâmica'!$D$1="Price",-'Price x SAC x SACRE'!E60,IF('Base dinâmica'!$D$1="sacre",-'Price x SAC x SACRE'!O60,0)))</f>
        <v>-408163.37548508996</v>
      </c>
      <c r="F61" s="70">
        <f t="shared" si="20"/>
        <v>12694.747275000045</v>
      </c>
      <c r="G61" s="70">
        <f t="shared" si="21"/>
        <v>-489.84901875000173</v>
      </c>
      <c r="H61" s="70">
        <f t="shared" si="22"/>
        <v>-290.14134187500105</v>
      </c>
      <c r="I61" s="70">
        <f t="shared" si="2"/>
        <v>11914.756914375042</v>
      </c>
      <c r="J61" s="123">
        <f t="shared" si="3"/>
        <v>4.0741237836483535E-3</v>
      </c>
      <c r="K61" s="123">
        <f t="shared" si="23"/>
        <v>2.4695076595960375E-2</v>
      </c>
      <c r="L61" s="124">
        <f t="shared" si="1"/>
        <v>0.1075</v>
      </c>
      <c r="M61" s="125">
        <f>+Dashboard!$B$36</f>
        <v>1</v>
      </c>
      <c r="N61" s="160">
        <f t="shared" si="4"/>
        <v>8.5450710394860963E-3</v>
      </c>
      <c r="O61" s="70">
        <f t="shared" si="7"/>
        <v>447776.00017813139</v>
      </c>
      <c r="Q61" s="6"/>
      <c r="R61" s="6"/>
    </row>
    <row r="62" spans="1:18" s="111" customFormat="1" outlineLevel="1" x14ac:dyDescent="0.25">
      <c r="A62" s="122">
        <v>55</v>
      </c>
      <c r="B62" s="70">
        <f>IF($D$1="SAC",-'Price x SAC x SACRE'!G61,IF('Base dinâmica'!$D$1="Price",-'Price x SAC x SACRE'!B61,IF('Base dinâmica'!$D$1="sacre",-'Price x SAC x SACRE'!L61,0)))</f>
        <v>-4100.9182743504389</v>
      </c>
      <c r="C62" s="70">
        <f>IF($D$1="SAC",-'Price x SAC x SACRE'!H61,IF('Base dinâmica'!$D$1="Price",-'Price x SAC x SACRE'!C61,IF('Base dinâmica'!$D$1="sacre",-'Price x SAC x SACRE'!M61,0)))</f>
        <v>-227.94052089195091</v>
      </c>
      <c r="D62" s="70">
        <f>IF($D$1="SAC",-'Price x SAC x SACRE'!I61,IF('Base dinâmica'!$D$1="Price",-'Price x SAC x SACRE'!D61,IF('Base dinâmica'!$D$1="sacre",-'Price x SAC x SACRE'!N61,0)))</f>
        <v>-3872.9777534584882</v>
      </c>
      <c r="E62" s="70">
        <f>IF($D$1="SAC",-'Price x SAC x SACRE'!J61,IF('Base dinâmica'!$D$1="Price",-'Price x SAC x SACRE'!E61,IF('Base dinâmica'!$D$1="sacre",-'Price x SAC x SACRE'!O61,0)))</f>
        <v>-407935.43496419798</v>
      </c>
      <c r="F62" s="70">
        <f t="shared" si="20"/>
        <v>12694.747275000045</v>
      </c>
      <c r="G62" s="70">
        <f t="shared" si="21"/>
        <v>-489.84901875000173</v>
      </c>
      <c r="H62" s="70">
        <f t="shared" si="22"/>
        <v>-290.14134187500105</v>
      </c>
      <c r="I62" s="70">
        <f t="shared" si="2"/>
        <v>11914.756914375042</v>
      </c>
      <c r="J62" s="123">
        <f t="shared" si="3"/>
        <v>4.0741237836483535E-3</v>
      </c>
      <c r="K62" s="123">
        <f t="shared" si="23"/>
        <v>2.8869811178507288E-2</v>
      </c>
      <c r="L62" s="124">
        <f t="shared" si="1"/>
        <v>0.1075</v>
      </c>
      <c r="M62" s="125">
        <f>+Dashboard!$B$36</f>
        <v>1</v>
      </c>
      <c r="N62" s="160">
        <f t="shared" si="4"/>
        <v>8.5450710394860963E-3</v>
      </c>
      <c r="O62" s="70">
        <f t="shared" si="7"/>
        <v>459416.11654945504</v>
      </c>
      <c r="Q62" s="6"/>
      <c r="R62" s="6"/>
    </row>
    <row r="63" spans="1:18" s="111" customFormat="1" outlineLevel="1" x14ac:dyDescent="0.25">
      <c r="A63" s="122">
        <v>56</v>
      </c>
      <c r="B63" s="70">
        <f>IF($D$1="SAC",-'Price x SAC x SACRE'!G62,IF('Base dinâmica'!$D$1="Price",-'Price x SAC x SACRE'!B62,IF('Base dinâmica'!$D$1="sacre",-'Price x SAC x SACRE'!L62,0)))</f>
        <v>-4100.9182743504389</v>
      </c>
      <c r="C63" s="70">
        <f>IF($D$1="SAC",-'Price x SAC x SACRE'!H62,IF('Base dinâmica'!$D$1="Price",-'Price x SAC x SACRE'!C62,IF('Base dinâmica'!$D$1="sacre",-'Price x SAC x SACRE'!M62,0)))</f>
        <v>-230.10340129609565</v>
      </c>
      <c r="D63" s="70">
        <f>IF($D$1="SAC",-'Price x SAC x SACRE'!I62,IF('Base dinâmica'!$D$1="Price",-'Price x SAC x SACRE'!D62,IF('Base dinâmica'!$D$1="sacre",-'Price x SAC x SACRE'!N62,0)))</f>
        <v>-3870.8148730543435</v>
      </c>
      <c r="E63" s="70">
        <f>IF($D$1="SAC",-'Price x SAC x SACRE'!J62,IF('Base dinâmica'!$D$1="Price",-'Price x SAC x SACRE'!E62,IF('Base dinâmica'!$D$1="sacre",-'Price x SAC x SACRE'!O62,0)))</f>
        <v>-407705.33156290191</v>
      </c>
      <c r="F63" s="70">
        <f t="shared" si="20"/>
        <v>12694.747275000045</v>
      </c>
      <c r="G63" s="70">
        <f t="shared" si="21"/>
        <v>-489.84901875000173</v>
      </c>
      <c r="H63" s="70">
        <f t="shared" si="22"/>
        <v>-290.14134187500105</v>
      </c>
      <c r="I63" s="70">
        <f t="shared" si="2"/>
        <v>11914.756914375042</v>
      </c>
      <c r="J63" s="123">
        <f t="shared" si="3"/>
        <v>4.0741237836483535E-3</v>
      </c>
      <c r="K63" s="123">
        <f t="shared" si="23"/>
        <v>3.3061554146507355E-2</v>
      </c>
      <c r="L63" s="124">
        <f t="shared" si="1"/>
        <v>0.1075</v>
      </c>
      <c r="M63" s="125">
        <f>+Dashboard!$B$36</f>
        <v>1</v>
      </c>
      <c r="N63" s="160">
        <f t="shared" si="4"/>
        <v>8.5450710394860963E-3</v>
      </c>
      <c r="O63" s="70">
        <f t="shared" si="7"/>
        <v>471155.69854207954</v>
      </c>
      <c r="Q63" s="6"/>
      <c r="R63" s="6"/>
    </row>
    <row r="64" spans="1:18" outlineLevel="1" x14ac:dyDescent="0.25">
      <c r="A64" s="122">
        <v>57</v>
      </c>
      <c r="B64" s="70">
        <f>IF($D$1="SAC",-'Price x SAC x SACRE'!G63,IF('Base dinâmica'!$D$1="Price",-'Price x SAC x SACRE'!B63,IF('Base dinâmica'!$D$1="sacre",-'Price x SAC x SACRE'!L63,0)))</f>
        <v>-4100.9182743504389</v>
      </c>
      <c r="C64" s="70">
        <f>IF($D$1="SAC",-'Price x SAC x SACRE'!H63,IF('Base dinâmica'!$D$1="Price",-'Price x SAC x SACRE'!C63,IF('Base dinâmica'!$D$1="sacre",-'Price x SAC x SACRE'!M63,0)))</f>
        <v>-232.28680482453754</v>
      </c>
      <c r="D64" s="70">
        <f>IF($D$1="SAC",-'Price x SAC x SACRE'!I63,IF('Base dinâmica'!$D$1="Price",-'Price x SAC x SACRE'!D63,IF('Base dinâmica'!$D$1="sacre",-'Price x SAC x SACRE'!N63,0)))</f>
        <v>-3868.6314695259016</v>
      </c>
      <c r="E64" s="70">
        <f>IF($D$1="SAC",-'Price x SAC x SACRE'!J63,IF('Base dinâmica'!$D$1="Price",-'Price x SAC x SACRE'!E63,IF('Base dinâmica'!$D$1="sacre",-'Price x SAC x SACRE'!O63,0)))</f>
        <v>-407473.04475807736</v>
      </c>
      <c r="F64" s="70">
        <f t="shared" si="20"/>
        <v>12694.747275000045</v>
      </c>
      <c r="G64" s="70">
        <f t="shared" si="21"/>
        <v>-489.84901875000173</v>
      </c>
      <c r="H64" s="70">
        <f t="shared" si="22"/>
        <v>-290.14134187500105</v>
      </c>
      <c r="I64" s="70">
        <f t="shared" si="2"/>
        <v>11914.756914375042</v>
      </c>
      <c r="J64" s="123">
        <f t="shared" si="3"/>
        <v>4.0741237836483535E-3</v>
      </c>
      <c r="K64" s="123">
        <f t="shared" si="23"/>
        <v>3.7270374794228456E-2</v>
      </c>
      <c r="L64" s="124">
        <f t="shared" si="1"/>
        <v>0.1075</v>
      </c>
      <c r="M64" s="125">
        <f>+Dashboard!$B$36</f>
        <v>1</v>
      </c>
      <c r="N64" s="160">
        <f t="shared" si="4"/>
        <v>8.5450710394860963E-3</v>
      </c>
      <c r="O64" s="70">
        <f t="shared" si="7"/>
        <v>482995.59609680489</v>
      </c>
    </row>
    <row r="65" spans="1:18" s="111" customFormat="1" outlineLevel="1" x14ac:dyDescent="0.25">
      <c r="A65" s="122">
        <v>58</v>
      </c>
      <c r="B65" s="70">
        <f>IF($D$1="SAC",-'Price x SAC x SACRE'!G64,IF('Base dinâmica'!$D$1="Price",-'Price x SAC x SACRE'!B64,IF('Base dinâmica'!$D$1="sacre",-'Price x SAC x SACRE'!L64,0)))</f>
        <v>-4100.9182743504389</v>
      </c>
      <c r="C65" s="70">
        <f>IF($D$1="SAC",-'Price x SAC x SACRE'!H64,IF('Base dinâmica'!$D$1="Price",-'Price x SAC x SACRE'!C64,IF('Base dinâmica'!$D$1="sacre",-'Price x SAC x SACRE'!M64,0)))</f>
        <v>-234.49092621695351</v>
      </c>
      <c r="D65" s="70">
        <f>IF($D$1="SAC",-'Price x SAC x SACRE'!I64,IF('Base dinâmica'!$D$1="Price",-'Price x SAC x SACRE'!D64,IF('Base dinâmica'!$D$1="sacre",-'Price x SAC x SACRE'!N64,0)))</f>
        <v>-3866.4273481334858</v>
      </c>
      <c r="E65" s="70">
        <f>IF($D$1="SAC",-'Price x SAC x SACRE'!J64,IF('Base dinâmica'!$D$1="Price",-'Price x SAC x SACRE'!E64,IF('Base dinâmica'!$D$1="sacre",-'Price x SAC x SACRE'!O64,0)))</f>
        <v>-407238.55383186042</v>
      </c>
      <c r="F65" s="70">
        <f t="shared" si="20"/>
        <v>12694.747275000045</v>
      </c>
      <c r="G65" s="70">
        <f t="shared" si="21"/>
        <v>-489.84901875000173</v>
      </c>
      <c r="H65" s="70">
        <f t="shared" si="22"/>
        <v>-290.14134187500105</v>
      </c>
      <c r="I65" s="70">
        <f t="shared" si="2"/>
        <v>11914.756914375042</v>
      </c>
      <c r="J65" s="123">
        <f t="shared" si="3"/>
        <v>4.0741237836483535E-3</v>
      </c>
      <c r="K65" s="123">
        <f t="shared" si="23"/>
        <v>4.1496342698251532E-2</v>
      </c>
      <c r="L65" s="124">
        <f t="shared" si="1"/>
        <v>0.1075</v>
      </c>
      <c r="M65" s="125">
        <f>+Dashboard!$B$36</f>
        <v>1</v>
      </c>
      <c r="N65" s="160">
        <f t="shared" si="4"/>
        <v>8.5450710394860963E-3</v>
      </c>
      <c r="O65" s="70">
        <f t="shared" si="7"/>
        <v>494936.66641723562</v>
      </c>
      <c r="Q65" s="6"/>
      <c r="R65" s="6"/>
    </row>
    <row r="66" spans="1:18" s="111" customFormat="1" outlineLevel="1" x14ac:dyDescent="0.25">
      <c r="A66" s="122">
        <v>59</v>
      </c>
      <c r="B66" s="70">
        <f>IF($D$1="SAC",-'Price x SAC x SACRE'!G65,IF('Base dinâmica'!$D$1="Price",-'Price x SAC x SACRE'!B65,IF('Base dinâmica'!$D$1="sacre",-'Price x SAC x SACRE'!L65,0)))</f>
        <v>-4100.9182743504389</v>
      </c>
      <c r="C66" s="70">
        <f>IF($D$1="SAC",-'Price x SAC x SACRE'!H65,IF('Base dinâmica'!$D$1="Price",-'Price x SAC x SACRE'!C65,IF('Base dinâmica'!$D$1="sacre",-'Price x SAC x SACRE'!M65,0)))</f>
        <v>-236.71596206086471</v>
      </c>
      <c r="D66" s="70">
        <f>IF($D$1="SAC",-'Price x SAC x SACRE'!I65,IF('Base dinâmica'!$D$1="Price",-'Price x SAC x SACRE'!D65,IF('Base dinâmica'!$D$1="sacre",-'Price x SAC x SACRE'!N65,0)))</f>
        <v>-3864.2023122895744</v>
      </c>
      <c r="E66" s="70">
        <f>IF($D$1="SAC",-'Price x SAC x SACRE'!J65,IF('Base dinâmica'!$D$1="Price",-'Price x SAC x SACRE'!E65,IF('Base dinâmica'!$D$1="sacre",-'Price x SAC x SACRE'!O65,0)))</f>
        <v>-407001.83786979958</v>
      </c>
      <c r="F66" s="70">
        <f t="shared" si="20"/>
        <v>12694.747275000045</v>
      </c>
      <c r="G66" s="70">
        <f t="shared" si="21"/>
        <v>-489.84901875000173</v>
      </c>
      <c r="H66" s="70">
        <v>0</v>
      </c>
      <c r="I66" s="70">
        <f t="shared" si="2"/>
        <v>12204.898256250044</v>
      </c>
      <c r="J66" s="123">
        <f t="shared" si="3"/>
        <v>4.0741237836483535E-3</v>
      </c>
      <c r="K66" s="123">
        <f t="shared" si="23"/>
        <v>4.573952771862122E-2</v>
      </c>
      <c r="L66" s="124">
        <f t="shared" si="1"/>
        <v>0.1075</v>
      </c>
      <c r="M66" s="125">
        <f>+Dashboard!$B$36</f>
        <v>1</v>
      </c>
      <c r="N66" s="160">
        <f t="shared" si="4"/>
        <v>8.5450710394860963E-3</v>
      </c>
      <c r="O66" s="70">
        <f t="shared" si="7"/>
        <v>507269.91537371691</v>
      </c>
      <c r="Q66" s="6"/>
      <c r="R66" s="6"/>
    </row>
    <row r="67" spans="1:18" s="126" customFormat="1" x14ac:dyDescent="0.25">
      <c r="A67" s="68">
        <v>60</v>
      </c>
      <c r="B67" s="64">
        <f>IF($D$1="SAC",-'Price x SAC x SACRE'!G66,IF('Base dinâmica'!$D$1="Price",-'Price x SAC x SACRE'!B66,IF('Base dinâmica'!$D$1="sacre",-'Price x SAC x SACRE'!L66,0)))</f>
        <v>-4100.9182743504389</v>
      </c>
      <c r="C67" s="64">
        <f>IF($D$1="SAC",-'Price x SAC x SACRE'!H66,IF('Base dinâmica'!$D$1="Price",-'Price x SAC x SACRE'!C66,IF('Base dinâmica'!$D$1="sacre",-'Price x SAC x SACRE'!M66,0)))</f>
        <v>-238.96211080917087</v>
      </c>
      <c r="D67" s="64">
        <f>IF($D$1="SAC",-'Price x SAC x SACRE'!I66,IF('Base dinâmica'!$D$1="Price",-'Price x SAC x SACRE'!D66,IF('Base dinâmica'!$D$1="sacre",-'Price x SAC x SACRE'!N66,0)))</f>
        <v>-3861.9561635412683</v>
      </c>
      <c r="E67" s="64">
        <f>IF($D$1="SAC",-'Price x SAC x SACRE'!J66,IF('Base dinâmica'!$D$1="Price",-'Price x SAC x SACRE'!E66,IF('Base dinâmica'!$D$1="sacre",-'Price x SAC x SACRE'!O66,0)))</f>
        <v>-406762.87575899041</v>
      </c>
      <c r="F67" s="64">
        <f>+F66</f>
        <v>12694.747275000045</v>
      </c>
      <c r="G67" s="64">
        <f>+G66</f>
        <v>-489.84901875000173</v>
      </c>
      <c r="H67" s="64">
        <v>0</v>
      </c>
      <c r="I67" s="64">
        <f t="shared" si="2"/>
        <v>12204.898256250044</v>
      </c>
      <c r="J67" s="119">
        <f t="shared" si="3"/>
        <v>4.0741237836483535E-3</v>
      </c>
      <c r="K67" s="119">
        <f t="shared" si="23"/>
        <v>5.0000000000000933E-2</v>
      </c>
      <c r="L67" s="120">
        <f t="shared" si="1"/>
        <v>0.1075</v>
      </c>
      <c r="M67" s="121">
        <f>+Dashboard!$B$36</f>
        <v>1</v>
      </c>
      <c r="N67" s="160">
        <f t="shared" si="4"/>
        <v>8.5450710394860963E-3</v>
      </c>
      <c r="O67" s="64">
        <f t="shared" si="7"/>
        <v>519708.55281867896</v>
      </c>
      <c r="Q67" s="53"/>
      <c r="R67" s="53"/>
    </row>
    <row r="68" spans="1:18" s="111" customFormat="1" outlineLevel="1" x14ac:dyDescent="0.25">
      <c r="A68" s="122">
        <v>61</v>
      </c>
      <c r="B68" s="70">
        <f>IF($D$1="SAC",-'Price x SAC x SACRE'!G67,IF('Base dinâmica'!$D$1="Price",-'Price x SAC x SACRE'!B67,IF('Base dinâmica'!$D$1="sacre",-'Price x SAC x SACRE'!L67,0)))</f>
        <v>-4100.9182743504398</v>
      </c>
      <c r="C68" s="70">
        <f>IF($D$1="SAC",-'Price x SAC x SACRE'!H67,IF('Base dinâmica'!$D$1="Price",-'Price x SAC x SACRE'!C67,IF('Base dinâmica'!$D$1="sacre",-'Price x SAC x SACRE'!M67,0)))</f>
        <v>-241.22957279784995</v>
      </c>
      <c r="D68" s="70">
        <f>IF($D$1="SAC",-'Price x SAC x SACRE'!I67,IF('Base dinâmica'!$D$1="Price",-'Price x SAC x SACRE'!D67,IF('Base dinâmica'!$D$1="sacre",-'Price x SAC x SACRE'!N67,0)))</f>
        <v>-3859.6887015525895</v>
      </c>
      <c r="E68" s="70">
        <f>IF($D$1="SAC",-'Price x SAC x SACRE'!J67,IF('Base dinâmica'!$D$1="Price",-'Price x SAC x SACRE'!E67,IF('Base dinâmica'!$D$1="sacre",-'Price x SAC x SACRE'!O67,0)))</f>
        <v>-406521.64618619258</v>
      </c>
      <c r="F68" s="70">
        <f>+F67*(1+K67)</f>
        <v>13329.48463875006</v>
      </c>
      <c r="G68" s="70">
        <f>+G67*(1+K67)</f>
        <v>-514.34146968750224</v>
      </c>
      <c r="H68" s="70">
        <f>+H65*(1+K67)</f>
        <v>-304.64840896875137</v>
      </c>
      <c r="I68" s="70">
        <f t="shared" si="2"/>
        <v>12510.494760093807</v>
      </c>
      <c r="J68" s="123">
        <f t="shared" si="3"/>
        <v>4.0741237836483535E-3</v>
      </c>
      <c r="K68" s="123">
        <f>+J68</f>
        <v>4.0741237836483535E-3</v>
      </c>
      <c r="L68" s="124">
        <f t="shared" si="1"/>
        <v>0.1075</v>
      </c>
      <c r="M68" s="125">
        <f>+Dashboard!$B$36</f>
        <v>1</v>
      </c>
      <c r="N68" s="160">
        <f t="shared" si="4"/>
        <v>8.5450710394860963E-3</v>
      </c>
      <c r="O68" s="70">
        <f t="shared" si="7"/>
        <v>532559.07580808643</v>
      </c>
      <c r="Q68" s="6"/>
      <c r="R68" s="6"/>
    </row>
    <row r="69" spans="1:18" s="111" customFormat="1" outlineLevel="1" x14ac:dyDescent="0.25">
      <c r="A69" s="122">
        <v>62</v>
      </c>
      <c r="B69" s="70">
        <f>IF($D$1="SAC",-'Price x SAC x SACRE'!G68,IF('Base dinâmica'!$D$1="Price",-'Price x SAC x SACRE'!B68,IF('Base dinâmica'!$D$1="sacre",-'Price x SAC x SACRE'!L68,0)))</f>
        <v>-4100.9182743504398</v>
      </c>
      <c r="C69" s="70">
        <f>IF($D$1="SAC",-'Price x SAC x SACRE'!H68,IF('Base dinâmica'!$D$1="Price",-'Price x SAC x SACRE'!C68,IF('Base dinâmica'!$D$1="sacre",-'Price x SAC x SACRE'!M68,0)))</f>
        <v>-243.5185502638268</v>
      </c>
      <c r="D69" s="70">
        <f>IF($D$1="SAC",-'Price x SAC x SACRE'!I68,IF('Base dinâmica'!$D$1="Price",-'Price x SAC x SACRE'!D68,IF('Base dinâmica'!$D$1="sacre",-'Price x SAC x SACRE'!N68,0)))</f>
        <v>-3857.3997240866129</v>
      </c>
      <c r="E69" s="70">
        <f>IF($D$1="SAC",-'Price x SAC x SACRE'!J68,IF('Base dinâmica'!$D$1="Price",-'Price x SAC x SACRE'!E68,IF('Base dinâmica'!$D$1="sacre",-'Price x SAC x SACRE'!O68,0)))</f>
        <v>-406278.12763592874</v>
      </c>
      <c r="F69" s="70">
        <f>+F68</f>
        <v>13329.48463875006</v>
      </c>
      <c r="G69" s="70">
        <f>+G68</f>
        <v>-514.34146968750224</v>
      </c>
      <c r="H69" s="70">
        <f>+H68</f>
        <v>-304.64840896875137</v>
      </c>
      <c r="I69" s="70">
        <f t="shared" si="2"/>
        <v>12510.494760093807</v>
      </c>
      <c r="J69" s="123">
        <f t="shared" si="3"/>
        <v>4.0741237836483535E-3</v>
      </c>
      <c r="K69" s="123">
        <f>((+K68+1)*(J69+1))-1</f>
        <v>8.1648460519012644E-3</v>
      </c>
      <c r="L69" s="124">
        <f t="shared" si="1"/>
        <v>0.1075</v>
      </c>
      <c r="M69" s="125">
        <f>+Dashboard!$B$36</f>
        <v>1</v>
      </c>
      <c r="N69" s="160">
        <f t="shared" si="4"/>
        <v>8.5450710394860963E-3</v>
      </c>
      <c r="O69" s="70">
        <f t="shared" si="7"/>
        <v>545519.40742933296</v>
      </c>
      <c r="Q69" s="6"/>
      <c r="R69" s="6"/>
    </row>
    <row r="70" spans="1:18" s="111" customFormat="1" outlineLevel="1" x14ac:dyDescent="0.25">
      <c r="A70" s="122">
        <v>63</v>
      </c>
      <c r="B70" s="70">
        <f>IF($D$1="SAC",-'Price x SAC x SACRE'!G69,IF('Base dinâmica'!$D$1="Price",-'Price x SAC x SACRE'!B69,IF('Base dinâmica'!$D$1="sacre",-'Price x SAC x SACRE'!L69,0)))</f>
        <v>-4100.9182743504398</v>
      </c>
      <c r="C70" s="70">
        <f>IF($D$1="SAC",-'Price x SAC x SACRE'!H69,IF('Base dinâmica'!$D$1="Price",-'Price x SAC x SACRE'!C69,IF('Base dinâmica'!$D$1="sacre",-'Price x SAC x SACRE'!M69,0)))</f>
        <v>-245.8292473630101</v>
      </c>
      <c r="D70" s="70">
        <f>IF($D$1="SAC",-'Price x SAC x SACRE'!I69,IF('Base dinâmica'!$D$1="Price",-'Price x SAC x SACRE'!D69,IF('Base dinâmica'!$D$1="sacre",-'Price x SAC x SACRE'!N69,0)))</f>
        <v>-3855.0890269874294</v>
      </c>
      <c r="E70" s="70">
        <f>IF($D$1="SAC",-'Price x SAC x SACRE'!J69,IF('Base dinâmica'!$D$1="Price",-'Price x SAC x SACRE'!E69,IF('Base dinâmica'!$D$1="sacre",-'Price x SAC x SACRE'!O69,0)))</f>
        <v>-406032.29838856572</v>
      </c>
      <c r="F70" s="70">
        <f t="shared" ref="F70:F78" si="24">+F69</f>
        <v>13329.48463875006</v>
      </c>
      <c r="G70" s="70">
        <f t="shared" ref="G70:G78" si="25">+G69</f>
        <v>-514.34146968750224</v>
      </c>
      <c r="H70" s="70">
        <f t="shared" ref="H70:H77" si="26">+H69</f>
        <v>-304.64840896875137</v>
      </c>
      <c r="I70" s="70">
        <f t="shared" si="2"/>
        <v>12510.494760093807</v>
      </c>
      <c r="J70" s="123">
        <f t="shared" si="3"/>
        <v>4.0741237836483535E-3</v>
      </c>
      <c r="K70" s="123">
        <f t="shared" ref="K70:K79" si="27">((+K69+1)*(J70+1))-1</f>
        <v>1.2272234429039575E-2</v>
      </c>
      <c r="L70" s="124">
        <f t="shared" si="1"/>
        <v>0.1075</v>
      </c>
      <c r="M70" s="125">
        <f>+Dashboard!$B$36</f>
        <v>1</v>
      </c>
      <c r="N70" s="160">
        <f t="shared" si="4"/>
        <v>8.5450710394860963E-3</v>
      </c>
      <c r="O70" s="70">
        <f t="shared" si="7"/>
        <v>558590.48600497842</v>
      </c>
      <c r="Q70" s="6"/>
      <c r="R70" s="6"/>
    </row>
    <row r="71" spans="1:18" outlineLevel="1" x14ac:dyDescent="0.25">
      <c r="A71" s="122">
        <v>64</v>
      </c>
      <c r="B71" s="70">
        <f>IF($D$1="SAC",-'Price x SAC x SACRE'!G70,IF('Base dinâmica'!$D$1="Price",-'Price x SAC x SACRE'!B70,IF('Base dinâmica'!$D$1="sacre",-'Price x SAC x SACRE'!L70,0)))</f>
        <v>-4100.9182743504398</v>
      </c>
      <c r="C71" s="70">
        <f>IF($D$1="SAC",-'Price x SAC x SACRE'!H70,IF('Base dinâmica'!$D$1="Price",-'Price x SAC x SACRE'!C70,IF('Base dinâmica'!$D$1="sacre",-'Price x SAC x SACRE'!M70,0)))</f>
        <v>-248.16187018850206</v>
      </c>
      <c r="D71" s="70">
        <f>IF($D$1="SAC",-'Price x SAC x SACRE'!I70,IF('Base dinâmica'!$D$1="Price",-'Price x SAC x SACRE'!D70,IF('Base dinâmica'!$D$1="sacre",-'Price x SAC x SACRE'!N70,0)))</f>
        <v>-3852.7564041619376</v>
      </c>
      <c r="E71" s="70">
        <f>IF($D$1="SAC",-'Price x SAC x SACRE'!J70,IF('Base dinâmica'!$D$1="Price",-'Price x SAC x SACRE'!E70,IF('Base dinâmica'!$D$1="sacre",-'Price x SAC x SACRE'!O70,0)))</f>
        <v>-405784.13651837723</v>
      </c>
      <c r="F71" s="70">
        <f t="shared" si="24"/>
        <v>13329.48463875006</v>
      </c>
      <c r="G71" s="70">
        <f t="shared" si="25"/>
        <v>-514.34146968750224</v>
      </c>
      <c r="H71" s="70">
        <f t="shared" si="26"/>
        <v>-304.64840896875137</v>
      </c>
      <c r="I71" s="70">
        <f t="shared" si="2"/>
        <v>12510.494760093807</v>
      </c>
      <c r="J71" s="123">
        <f t="shared" si="3"/>
        <v>4.0741237836483535E-3</v>
      </c>
      <c r="K71" s="123">
        <f t="shared" si="27"/>
        <v>1.6396356814853741E-2</v>
      </c>
      <c r="L71" s="124">
        <f t="shared" si="1"/>
        <v>0.1075</v>
      </c>
      <c r="M71" s="125">
        <f>+Dashboard!$B$36</f>
        <v>1</v>
      </c>
      <c r="N71" s="160">
        <f t="shared" si="4"/>
        <v>8.5450710394860963E-3</v>
      </c>
      <c r="O71" s="70">
        <f t="shared" si="7"/>
        <v>571773.25787561538</v>
      </c>
    </row>
    <row r="72" spans="1:18" s="111" customFormat="1" outlineLevel="1" x14ac:dyDescent="0.25">
      <c r="A72" s="122">
        <v>65</v>
      </c>
      <c r="B72" s="70">
        <f>IF($D$1="SAC",-'Price x SAC x SACRE'!G71,IF('Base dinâmica'!$D$1="Price",-'Price x SAC x SACRE'!B71,IF('Base dinâmica'!$D$1="sacre",-'Price x SAC x SACRE'!L71,0)))</f>
        <v>-4100.9182743504398</v>
      </c>
      <c r="C72" s="70">
        <f>IF($D$1="SAC",-'Price x SAC x SACRE'!H71,IF('Base dinâmica'!$D$1="Price",-'Price x SAC x SACRE'!C71,IF('Base dinâmica'!$D$1="sacre",-'Price x SAC x SACRE'!M71,0)))</f>
        <v>-250.51662678897958</v>
      </c>
      <c r="D72" s="70">
        <f>IF($D$1="SAC",-'Price x SAC x SACRE'!I71,IF('Base dinâmica'!$D$1="Price",-'Price x SAC x SACRE'!D71,IF('Base dinâmica'!$D$1="sacre",-'Price x SAC x SACRE'!N71,0)))</f>
        <v>-3850.4016475614599</v>
      </c>
      <c r="E72" s="70">
        <f>IF($D$1="SAC",-'Price x SAC x SACRE'!J71,IF('Base dinâmica'!$D$1="Price",-'Price x SAC x SACRE'!E71,IF('Base dinâmica'!$D$1="sacre",-'Price x SAC x SACRE'!O71,0)))</f>
        <v>-405533.61989158823</v>
      </c>
      <c r="F72" s="70">
        <f t="shared" si="24"/>
        <v>13329.48463875006</v>
      </c>
      <c r="G72" s="70">
        <f t="shared" si="25"/>
        <v>-514.34146968750224</v>
      </c>
      <c r="H72" s="70">
        <f t="shared" si="26"/>
        <v>-304.64840896875137</v>
      </c>
      <c r="I72" s="70">
        <f t="shared" si="2"/>
        <v>12510.494760093807</v>
      </c>
      <c r="J72" s="123">
        <f t="shared" si="3"/>
        <v>4.0741237836483535E-3</v>
      </c>
      <c r="K72" s="123">
        <f t="shared" si="27"/>
        <v>2.0537281385766715E-2</v>
      </c>
      <c r="L72" s="124">
        <f t="shared" ref="L72:L135" si="28">+$N$2</f>
        <v>0.1075</v>
      </c>
      <c r="M72" s="125">
        <f>+Dashboard!$B$36</f>
        <v>1</v>
      </c>
      <c r="N72" s="160">
        <f t="shared" si="4"/>
        <v>8.5450710394860963E-3</v>
      </c>
      <c r="O72" s="70">
        <f t="shared" si="7"/>
        <v>585068.67746838427</v>
      </c>
      <c r="Q72" s="6"/>
      <c r="R72" s="6"/>
    </row>
    <row r="73" spans="1:18" s="111" customFormat="1" outlineLevel="1" x14ac:dyDescent="0.25">
      <c r="A73" s="122">
        <v>66</v>
      </c>
      <c r="B73" s="70">
        <f>IF($D$1="SAC",-'Price x SAC x SACRE'!G72,IF('Base dinâmica'!$D$1="Price",-'Price x SAC x SACRE'!B72,IF('Base dinâmica'!$D$1="sacre",-'Price x SAC x SACRE'!L72,0)))</f>
        <v>-4100.9182743504389</v>
      </c>
      <c r="C73" s="70">
        <f>IF($D$1="SAC",-'Price x SAC x SACRE'!H72,IF('Base dinâmica'!$D$1="Price",-'Price x SAC x SACRE'!C72,IF('Base dinâmica'!$D$1="sacre",-'Price x SAC x SACRE'!M72,0)))</f>
        <v>-252.89372718725045</v>
      </c>
      <c r="D73" s="70">
        <f>IF($D$1="SAC",-'Price x SAC x SACRE'!I72,IF('Base dinâmica'!$D$1="Price",-'Price x SAC x SACRE'!D72,IF('Base dinâmica'!$D$1="sacre",-'Price x SAC x SACRE'!N72,0)))</f>
        <v>-3848.0245471631888</v>
      </c>
      <c r="E73" s="70">
        <f>IF($D$1="SAC",-'Price x SAC x SACRE'!J72,IF('Base dinâmica'!$D$1="Price",-'Price x SAC x SACRE'!E72,IF('Base dinâmica'!$D$1="sacre",-'Price x SAC x SACRE'!O72,0)))</f>
        <v>-405280.72616440098</v>
      </c>
      <c r="F73" s="70">
        <f t="shared" si="24"/>
        <v>13329.48463875006</v>
      </c>
      <c r="G73" s="70">
        <f t="shared" si="25"/>
        <v>-514.34146968750224</v>
      </c>
      <c r="H73" s="70">
        <f t="shared" si="26"/>
        <v>-304.64840896875137</v>
      </c>
      <c r="I73" s="70">
        <f t="shared" ref="I73:I136" si="29">+F73+G73+H73</f>
        <v>12510.494760093807</v>
      </c>
      <c r="J73" s="123">
        <f t="shared" ref="J73:J136" si="30">+$L$3</f>
        <v>4.0741237836483535E-3</v>
      </c>
      <c r="K73" s="123">
        <f t="shared" si="27"/>
        <v>2.4695076595960375E-2</v>
      </c>
      <c r="L73" s="124">
        <f t="shared" si="28"/>
        <v>0.1075</v>
      </c>
      <c r="M73" s="125">
        <f>+Dashboard!$B$36</f>
        <v>1</v>
      </c>
      <c r="N73" s="160">
        <f t="shared" ref="N73:N136" si="31">((((1+L73)^(1/12))-1)*M73)</f>
        <v>8.5450710394860963E-3</v>
      </c>
      <c r="O73" s="70">
        <f t="shared" si="7"/>
        <v>598477.70736607315</v>
      </c>
      <c r="Q73" s="6"/>
      <c r="R73" s="6"/>
    </row>
    <row r="74" spans="1:18" s="111" customFormat="1" outlineLevel="1" x14ac:dyDescent="0.25">
      <c r="A74" s="122">
        <v>67</v>
      </c>
      <c r="B74" s="70">
        <f>IF($D$1="SAC",-'Price x SAC x SACRE'!G73,IF('Base dinâmica'!$D$1="Price",-'Price x SAC x SACRE'!B73,IF('Base dinâmica'!$D$1="sacre",-'Price x SAC x SACRE'!L73,0)))</f>
        <v>-4100.9182743504398</v>
      </c>
      <c r="C74" s="70">
        <f>IF($D$1="SAC",-'Price x SAC x SACRE'!H73,IF('Base dinâmica'!$D$1="Price",-'Price x SAC x SACRE'!C73,IF('Base dinâmica'!$D$1="sacre",-'Price x SAC x SACRE'!M73,0)))</f>
        <v>-255.29338339898518</v>
      </c>
      <c r="D74" s="70">
        <f>IF($D$1="SAC",-'Price x SAC x SACRE'!I73,IF('Base dinâmica'!$D$1="Price",-'Price x SAC x SACRE'!D73,IF('Base dinâmica'!$D$1="sacre",-'Price x SAC x SACRE'!N73,0)))</f>
        <v>-3845.6248909514543</v>
      </c>
      <c r="E74" s="70">
        <f>IF($D$1="SAC",-'Price x SAC x SACRE'!J73,IF('Base dinâmica'!$D$1="Price",-'Price x SAC x SACRE'!E73,IF('Base dinâmica'!$D$1="sacre",-'Price x SAC x SACRE'!O73,0)))</f>
        <v>-405025.43278100202</v>
      </c>
      <c r="F74" s="70">
        <f t="shared" si="24"/>
        <v>13329.48463875006</v>
      </c>
      <c r="G74" s="70">
        <f t="shared" si="25"/>
        <v>-514.34146968750224</v>
      </c>
      <c r="H74" s="70">
        <f t="shared" si="26"/>
        <v>-304.64840896875137</v>
      </c>
      <c r="I74" s="70">
        <f t="shared" si="29"/>
        <v>12510.494760093807</v>
      </c>
      <c r="J74" s="123">
        <f t="shared" si="30"/>
        <v>4.0741237836483535E-3</v>
      </c>
      <c r="K74" s="123">
        <f t="shared" si="27"/>
        <v>2.8869811178507288E-2</v>
      </c>
      <c r="L74" s="124">
        <f t="shared" si="28"/>
        <v>0.1075</v>
      </c>
      <c r="M74" s="125">
        <f>+Dashboard!$B$36</f>
        <v>1</v>
      </c>
      <c r="N74" s="160">
        <f t="shared" si="31"/>
        <v>8.5450710394860963E-3</v>
      </c>
      <c r="O74" s="70">
        <f t="shared" ref="O74:O137" si="32">IF(O73&lt;=0,+I74+B74+O73,(+O73)*(((((1+L74)^(1/12))-1)*(M74))+1)+I74+B74)</f>
        <v>612001.31837680843</v>
      </c>
      <c r="Q74" s="6"/>
      <c r="R74" s="6"/>
    </row>
    <row r="75" spans="1:18" outlineLevel="1" x14ac:dyDescent="0.25">
      <c r="A75" s="122">
        <v>68</v>
      </c>
      <c r="B75" s="70">
        <f>IF($D$1="SAC",-'Price x SAC x SACRE'!G74,IF('Base dinâmica'!$D$1="Price",-'Price x SAC x SACRE'!B74,IF('Base dinâmica'!$D$1="sacre",-'Price x SAC x SACRE'!L74,0)))</f>
        <v>-4100.9182743504398</v>
      </c>
      <c r="C75" s="70">
        <f>IF($D$1="SAC",-'Price x SAC x SACRE'!H74,IF('Base dinâmica'!$D$1="Price",-'Price x SAC x SACRE'!C74,IF('Base dinâmica'!$D$1="sacre",-'Price x SAC x SACRE'!M74,0)))</f>
        <v>-257.71580945162736</v>
      </c>
      <c r="D75" s="70">
        <f>IF($D$1="SAC",-'Price x SAC x SACRE'!I74,IF('Base dinâmica'!$D$1="Price",-'Price x SAC x SACRE'!D74,IF('Base dinâmica'!$D$1="sacre",-'Price x SAC x SACRE'!N74,0)))</f>
        <v>-3843.2024648988122</v>
      </c>
      <c r="E75" s="70">
        <f>IF($D$1="SAC",-'Price x SAC x SACRE'!J74,IF('Base dinâmica'!$D$1="Price",-'Price x SAC x SACRE'!E74,IF('Base dinâmica'!$D$1="sacre",-'Price x SAC x SACRE'!O74,0)))</f>
        <v>-404767.71697155037</v>
      </c>
      <c r="F75" s="70">
        <f t="shared" si="24"/>
        <v>13329.48463875006</v>
      </c>
      <c r="G75" s="70">
        <f t="shared" si="25"/>
        <v>-514.34146968750224</v>
      </c>
      <c r="H75" s="70">
        <f t="shared" si="26"/>
        <v>-304.64840896875137</v>
      </c>
      <c r="I75" s="70">
        <f t="shared" si="29"/>
        <v>12510.494760093807</v>
      </c>
      <c r="J75" s="123">
        <f t="shared" si="30"/>
        <v>4.0741237836483535E-3</v>
      </c>
      <c r="K75" s="123">
        <f t="shared" si="27"/>
        <v>3.3061554146507355E-2</v>
      </c>
      <c r="L75" s="124">
        <f t="shared" si="28"/>
        <v>0.1075</v>
      </c>
      <c r="M75" s="125">
        <f>+Dashboard!$B$36</f>
        <v>1</v>
      </c>
      <c r="N75" s="160">
        <f t="shared" si="31"/>
        <v>8.5450710394860963E-3</v>
      </c>
      <c r="O75" s="70">
        <f t="shared" si="32"/>
        <v>625640.48960434075</v>
      </c>
    </row>
    <row r="76" spans="1:18" outlineLevel="1" x14ac:dyDescent="0.25">
      <c r="A76" s="122">
        <v>69</v>
      </c>
      <c r="B76" s="70">
        <f>IF($D$1="SAC",-'Price x SAC x SACRE'!G75,IF('Base dinâmica'!$D$1="Price",-'Price x SAC x SACRE'!B75,IF('Base dinâmica'!$D$1="sacre",-'Price x SAC x SACRE'!L75,0)))</f>
        <v>-4100.9182743504398</v>
      </c>
      <c r="C76" s="70">
        <f>IF($D$1="SAC",-'Price x SAC x SACRE'!H75,IF('Base dinâmica'!$D$1="Price",-'Price x SAC x SACRE'!C75,IF('Base dinâmica'!$D$1="sacre",-'Price x SAC x SACRE'!M75,0)))</f>
        <v>-260.16122140348227</v>
      </c>
      <c r="D76" s="70">
        <f>IF($D$1="SAC",-'Price x SAC x SACRE'!I75,IF('Base dinâmica'!$D$1="Price",-'Price x SAC x SACRE'!D75,IF('Base dinâmica'!$D$1="sacre",-'Price x SAC x SACRE'!N75,0)))</f>
        <v>-3840.7570529469572</v>
      </c>
      <c r="E76" s="70">
        <f>IF($D$1="SAC",-'Price x SAC x SACRE'!J75,IF('Base dinâmica'!$D$1="Price",-'Price x SAC x SACRE'!E75,IF('Base dinâmica'!$D$1="sacre",-'Price x SAC x SACRE'!O75,0)))</f>
        <v>-404507.55575014692</v>
      </c>
      <c r="F76" s="70">
        <f t="shared" si="24"/>
        <v>13329.48463875006</v>
      </c>
      <c r="G76" s="70">
        <f t="shared" si="25"/>
        <v>-514.34146968750224</v>
      </c>
      <c r="H76" s="70">
        <f t="shared" si="26"/>
        <v>-304.64840896875137</v>
      </c>
      <c r="I76" s="70">
        <f t="shared" si="29"/>
        <v>12510.494760093807</v>
      </c>
      <c r="J76" s="123">
        <f t="shared" si="30"/>
        <v>4.0741237836483535E-3</v>
      </c>
      <c r="K76" s="123">
        <f t="shared" si="27"/>
        <v>3.7270374794228456E-2</v>
      </c>
      <c r="L76" s="124">
        <f t="shared" si="28"/>
        <v>0.1075</v>
      </c>
      <c r="M76" s="125">
        <f>+Dashboard!$B$36</f>
        <v>1</v>
      </c>
      <c r="N76" s="160">
        <f t="shared" si="31"/>
        <v>8.5450710394860963E-3</v>
      </c>
      <c r="O76" s="70">
        <f t="shared" si="32"/>
        <v>639396.20851893211</v>
      </c>
    </row>
    <row r="77" spans="1:18" outlineLevel="1" x14ac:dyDescent="0.25">
      <c r="A77" s="122">
        <v>70</v>
      </c>
      <c r="B77" s="70">
        <f>IF($D$1="SAC",-'Price x SAC x SACRE'!G76,IF('Base dinâmica'!$D$1="Price",-'Price x SAC x SACRE'!B76,IF('Base dinâmica'!$D$1="sacre",-'Price x SAC x SACRE'!L76,0)))</f>
        <v>-4100.9182743504398</v>
      </c>
      <c r="C77" s="70">
        <f>IF($D$1="SAC",-'Price x SAC x SACRE'!H76,IF('Base dinâmica'!$D$1="Price",-'Price x SAC x SACRE'!C76,IF('Base dinâmica'!$D$1="sacre",-'Price x SAC x SACRE'!M76,0)))</f>
        <v>-262.62983736298816</v>
      </c>
      <c r="D77" s="70">
        <f>IF($D$1="SAC",-'Price x SAC x SACRE'!I76,IF('Base dinâmica'!$D$1="Price",-'Price x SAC x SACRE'!D76,IF('Base dinâmica'!$D$1="sacre",-'Price x SAC x SACRE'!N76,0)))</f>
        <v>-3838.2884369874514</v>
      </c>
      <c r="E77" s="70">
        <f>IF($D$1="SAC",-'Price x SAC x SACRE'!J76,IF('Base dinâmica'!$D$1="Price",-'Price x SAC x SACRE'!E76,IF('Base dinâmica'!$D$1="sacre",-'Price x SAC x SACRE'!O76,0)))</f>
        <v>-404244.92591278395</v>
      </c>
      <c r="F77" s="70">
        <f t="shared" si="24"/>
        <v>13329.48463875006</v>
      </c>
      <c r="G77" s="70">
        <f t="shared" si="25"/>
        <v>-514.34146968750224</v>
      </c>
      <c r="H77" s="70">
        <f t="shared" si="26"/>
        <v>-304.64840896875137</v>
      </c>
      <c r="I77" s="70">
        <f t="shared" si="29"/>
        <v>12510.494760093807</v>
      </c>
      <c r="J77" s="123">
        <f t="shared" si="30"/>
        <v>4.0741237836483535E-3</v>
      </c>
      <c r="K77" s="123">
        <f t="shared" si="27"/>
        <v>4.1496342698251532E-2</v>
      </c>
      <c r="L77" s="124">
        <f t="shared" si="28"/>
        <v>0.1075</v>
      </c>
      <c r="M77" s="125">
        <f>+Dashboard!$B$36</f>
        <v>1</v>
      </c>
      <c r="N77" s="160">
        <f t="shared" si="31"/>
        <v>8.5450710394860963E-3</v>
      </c>
      <c r="O77" s="70">
        <f t="shared" si="32"/>
        <v>653269.47102884785</v>
      </c>
    </row>
    <row r="78" spans="1:18" outlineLevel="1" x14ac:dyDescent="0.25">
      <c r="A78" s="122">
        <v>71</v>
      </c>
      <c r="B78" s="70">
        <f>IF($D$1="SAC",-'Price x SAC x SACRE'!G77,IF('Base dinâmica'!$D$1="Price",-'Price x SAC x SACRE'!B77,IF('Base dinâmica'!$D$1="sacre",-'Price x SAC x SACRE'!L77,0)))</f>
        <v>-4100.9182743504398</v>
      </c>
      <c r="C78" s="70">
        <f>IF($D$1="SAC",-'Price x SAC x SACRE'!H77,IF('Base dinâmica'!$D$1="Price",-'Price x SAC x SACRE'!C77,IF('Base dinâmica'!$D$1="sacre",-'Price x SAC x SACRE'!M77,0)))</f>
        <v>-265.12187750816878</v>
      </c>
      <c r="D78" s="70">
        <f>IF($D$1="SAC",-'Price x SAC x SACRE'!I77,IF('Base dinâmica'!$D$1="Price",-'Price x SAC x SACRE'!D77,IF('Base dinâmica'!$D$1="sacre",-'Price x SAC x SACRE'!N77,0)))</f>
        <v>-3835.796396842271</v>
      </c>
      <c r="E78" s="70">
        <f>IF($D$1="SAC",-'Price x SAC x SACRE'!J77,IF('Base dinâmica'!$D$1="Price",-'Price x SAC x SACRE'!E77,IF('Base dinâmica'!$D$1="sacre",-'Price x SAC x SACRE'!O77,0)))</f>
        <v>-403979.80403527577</v>
      </c>
      <c r="F78" s="70">
        <f t="shared" si="24"/>
        <v>13329.48463875006</v>
      </c>
      <c r="G78" s="70">
        <f t="shared" si="25"/>
        <v>-514.34146968750224</v>
      </c>
      <c r="H78" s="70">
        <v>0</v>
      </c>
      <c r="I78" s="70">
        <f t="shared" si="29"/>
        <v>12815.143169062558</v>
      </c>
      <c r="J78" s="123">
        <f t="shared" si="30"/>
        <v>4.0741237836483535E-3</v>
      </c>
      <c r="K78" s="123">
        <f t="shared" si="27"/>
        <v>4.573952771862122E-2</v>
      </c>
      <c r="L78" s="124">
        <f t="shared" si="28"/>
        <v>0.1075</v>
      </c>
      <c r="M78" s="125">
        <f>+Dashboard!$B$36</f>
        <v>1</v>
      </c>
      <c r="N78" s="160">
        <f t="shared" si="31"/>
        <v>8.5450710394860963E-3</v>
      </c>
      <c r="O78" s="70">
        <f t="shared" si="32"/>
        <v>667565.92996142898</v>
      </c>
    </row>
    <row r="79" spans="1:18" s="53" customFormat="1" x14ac:dyDescent="0.25">
      <c r="A79" s="68">
        <v>72</v>
      </c>
      <c r="B79" s="64">
        <f>IF($D$1="SAC",-'Price x SAC x SACRE'!G78,IF('Base dinâmica'!$D$1="Price",-'Price x SAC x SACRE'!B78,IF('Base dinâmica'!$D$1="sacre",-'Price x SAC x SACRE'!L78,0)))</f>
        <v>-4100.9182743504398</v>
      </c>
      <c r="C79" s="64">
        <f>IF($D$1="SAC",-'Price x SAC x SACRE'!H78,IF('Base dinâmica'!$D$1="Price",-'Price x SAC x SACRE'!C78,IF('Base dinâmica'!$D$1="sacre",-'Price x SAC x SACRE'!M78,0)))</f>
        <v>-267.63756410627161</v>
      </c>
      <c r="D79" s="64">
        <f>IF($D$1="SAC",-'Price x SAC x SACRE'!I78,IF('Base dinâmica'!$D$1="Price",-'Price x SAC x SACRE'!D78,IF('Base dinâmica'!$D$1="sacre",-'Price x SAC x SACRE'!N78,0)))</f>
        <v>-3833.2807102441679</v>
      </c>
      <c r="E79" s="64">
        <f>IF($D$1="SAC",-'Price x SAC x SACRE'!J78,IF('Base dinâmica'!$D$1="Price",-'Price x SAC x SACRE'!E78,IF('Base dinâmica'!$D$1="sacre",-'Price x SAC x SACRE'!O78,0)))</f>
        <v>-403712.1664711695</v>
      </c>
      <c r="F79" s="64">
        <f>+F78</f>
        <v>13329.48463875006</v>
      </c>
      <c r="G79" s="64">
        <f>+G78</f>
        <v>-514.34146968750224</v>
      </c>
      <c r="H79" s="64">
        <v>0</v>
      </c>
      <c r="I79" s="64">
        <f t="shared" si="29"/>
        <v>12815.143169062558</v>
      </c>
      <c r="J79" s="119">
        <f t="shared" si="30"/>
        <v>4.0741237836483535E-3</v>
      </c>
      <c r="K79" s="119">
        <f t="shared" si="27"/>
        <v>5.0000000000000933E-2</v>
      </c>
      <c r="L79" s="120">
        <f t="shared" si="28"/>
        <v>0.1075</v>
      </c>
      <c r="M79" s="121">
        <f>+Dashboard!$B$36</f>
        <v>1</v>
      </c>
      <c r="N79" s="160">
        <f t="shared" si="31"/>
        <v>8.5450710394860963E-3</v>
      </c>
      <c r="O79" s="64">
        <f t="shared" si="32"/>
        <v>681984.55315120204</v>
      </c>
    </row>
    <row r="80" spans="1:18" outlineLevel="1" x14ac:dyDescent="0.25">
      <c r="A80" s="122">
        <v>73</v>
      </c>
      <c r="B80" s="70">
        <f>IF($D$1="SAC",-'Price x SAC x SACRE'!G79,IF('Base dinâmica'!$D$1="Price",-'Price x SAC x SACRE'!B79,IF('Base dinâmica'!$D$1="sacre",-'Price x SAC x SACRE'!L79,0)))</f>
        <v>-4100.9182743504398</v>
      </c>
      <c r="C80" s="70">
        <f>IF($D$1="SAC",-'Price x SAC x SACRE'!H79,IF('Base dinâmica'!$D$1="Price",-'Price x SAC x SACRE'!C79,IF('Base dinâmica'!$D$1="sacre",-'Price x SAC x SACRE'!M79,0)))</f>
        <v>-270.17712153359219</v>
      </c>
      <c r="D80" s="70">
        <f>IF($D$1="SAC",-'Price x SAC x SACRE'!I79,IF('Base dinâmica'!$D$1="Price",-'Price x SAC x SACRE'!D79,IF('Base dinâmica'!$D$1="sacre",-'Price x SAC x SACRE'!N79,0)))</f>
        <v>-3830.7411528168477</v>
      </c>
      <c r="E80" s="70">
        <f>IF($D$1="SAC",-'Price x SAC x SACRE'!J79,IF('Base dinâmica'!$D$1="Price",-'Price x SAC x SACRE'!E79,IF('Base dinâmica'!$D$1="sacre",-'Price x SAC x SACRE'!O79,0)))</f>
        <v>-403441.9893496359</v>
      </c>
      <c r="F80" s="70">
        <f>+F79*(1+K79)</f>
        <v>13995.958870687575</v>
      </c>
      <c r="G80" s="70">
        <f>+G79*(1+K79)</f>
        <v>-540.05854317187789</v>
      </c>
      <c r="H80" s="70">
        <f>+H77*(1+K79)</f>
        <v>-319.8808294171892</v>
      </c>
      <c r="I80" s="70">
        <f t="shared" si="29"/>
        <v>13136.019498098509</v>
      </c>
      <c r="J80" s="123">
        <f t="shared" si="30"/>
        <v>4.0741237836483535E-3</v>
      </c>
      <c r="K80" s="123">
        <f>+J80</f>
        <v>4.0741237836483535E-3</v>
      </c>
      <c r="L80" s="124">
        <f t="shared" si="28"/>
        <v>0.1075</v>
      </c>
      <c r="M80" s="125">
        <f>+Dashboard!$B$36</f>
        <v>1</v>
      </c>
      <c r="N80" s="160">
        <f t="shared" si="31"/>
        <v>8.5450710394860963E-3</v>
      </c>
      <c r="O80" s="70">
        <f t="shared" si="32"/>
        <v>696847.26082945929</v>
      </c>
    </row>
    <row r="81" spans="1:15" outlineLevel="1" x14ac:dyDescent="0.25">
      <c r="A81" s="122">
        <v>74</v>
      </c>
      <c r="B81" s="70">
        <f>IF($D$1="SAC",-'Price x SAC x SACRE'!G80,IF('Base dinâmica'!$D$1="Price",-'Price x SAC x SACRE'!B80,IF('Base dinâmica'!$D$1="sacre",-'Price x SAC x SACRE'!L80,0)))</f>
        <v>-4100.9182743504398</v>
      </c>
      <c r="C81" s="70">
        <f>IF($D$1="SAC",-'Price x SAC x SACRE'!H80,IF('Base dinâmica'!$D$1="Price",-'Price x SAC x SACRE'!C80,IF('Base dinâmica'!$D$1="sacre",-'Price x SAC x SACRE'!M80,0)))</f>
        <v>-272.74077629548611</v>
      </c>
      <c r="D81" s="70">
        <f>IF($D$1="SAC",-'Price x SAC x SACRE'!I80,IF('Base dinâmica'!$D$1="Price",-'Price x SAC x SACRE'!D80,IF('Base dinâmica'!$D$1="sacre",-'Price x SAC x SACRE'!N80,0)))</f>
        <v>-3828.1774980549535</v>
      </c>
      <c r="E81" s="70">
        <f>IF($D$1="SAC",-'Price x SAC x SACRE'!J80,IF('Base dinâmica'!$D$1="Price",-'Price x SAC x SACRE'!E80,IF('Base dinâmica'!$D$1="sacre",-'Price x SAC x SACRE'!O80,0)))</f>
        <v>-403169.24857334042</v>
      </c>
      <c r="F81" s="70">
        <f>+F80</f>
        <v>13995.958870687575</v>
      </c>
      <c r="G81" s="70">
        <f>+G80</f>
        <v>-540.05854317187789</v>
      </c>
      <c r="H81" s="70">
        <f>+H80</f>
        <v>-319.8808294171892</v>
      </c>
      <c r="I81" s="70">
        <f t="shared" si="29"/>
        <v>13136.019498098509</v>
      </c>
      <c r="J81" s="123">
        <f t="shared" si="30"/>
        <v>4.0741237836483535E-3</v>
      </c>
      <c r="K81" s="123">
        <f>((+K80+1)*(J81+1))-1</f>
        <v>8.1648460519012644E-3</v>
      </c>
      <c r="L81" s="124">
        <f t="shared" si="28"/>
        <v>0.1075</v>
      </c>
      <c r="M81" s="125">
        <f>+Dashboard!$B$36</f>
        <v>1</v>
      </c>
      <c r="N81" s="160">
        <f t="shared" si="31"/>
        <v>8.5450710394860963E-3</v>
      </c>
      <c r="O81" s="70">
        <f t="shared" si="32"/>
        <v>711836.9714006664</v>
      </c>
    </row>
    <row r="82" spans="1:15" outlineLevel="1" x14ac:dyDescent="0.25">
      <c r="A82" s="122">
        <v>75</v>
      </c>
      <c r="B82" s="70">
        <f>IF($D$1="SAC",-'Price x SAC x SACRE'!G81,IF('Base dinâmica'!$D$1="Price",-'Price x SAC x SACRE'!B81,IF('Base dinâmica'!$D$1="sacre",-'Price x SAC x SACRE'!L81,0)))</f>
        <v>-4100.9182743504398</v>
      </c>
      <c r="C82" s="70">
        <f>IF($D$1="SAC",-'Price x SAC x SACRE'!H81,IF('Base dinâmica'!$D$1="Price",-'Price x SAC x SACRE'!C81,IF('Base dinâmica'!$D$1="sacre",-'Price x SAC x SACRE'!M81,0)))</f>
        <v>-275.32875704657152</v>
      </c>
      <c r="D82" s="70">
        <f>IF($D$1="SAC",-'Price x SAC x SACRE'!I81,IF('Base dinâmica'!$D$1="Price",-'Price x SAC x SACRE'!D81,IF('Base dinâmica'!$D$1="sacre",-'Price x SAC x SACRE'!N81,0)))</f>
        <v>-3825.5895173038684</v>
      </c>
      <c r="E82" s="70">
        <f>IF($D$1="SAC",-'Price x SAC x SACRE'!J81,IF('Base dinâmica'!$D$1="Price",-'Price x SAC x SACRE'!E81,IF('Base dinâmica'!$D$1="sacre",-'Price x SAC x SACRE'!O81,0)))</f>
        <v>-402893.91981629387</v>
      </c>
      <c r="F82" s="70">
        <f t="shared" ref="F82:F90" si="33">+F81</f>
        <v>13995.958870687575</v>
      </c>
      <c r="G82" s="70">
        <f t="shared" ref="G82:G90" si="34">+G81</f>
        <v>-540.05854317187789</v>
      </c>
      <c r="H82" s="70">
        <f t="shared" ref="H82:H89" si="35">+H81</f>
        <v>-319.8808294171892</v>
      </c>
      <c r="I82" s="70">
        <f t="shared" si="29"/>
        <v>13136.019498098509</v>
      </c>
      <c r="J82" s="123">
        <f t="shared" si="30"/>
        <v>4.0741237836483535E-3</v>
      </c>
      <c r="K82" s="123">
        <f t="shared" ref="K82:K91" si="36">((+K81+1)*(J82+1))-1</f>
        <v>1.2272234429039575E-2</v>
      </c>
      <c r="L82" s="124">
        <f t="shared" si="28"/>
        <v>0.1075</v>
      </c>
      <c r="M82" s="125">
        <f>+Dashboard!$B$36</f>
        <v>1</v>
      </c>
      <c r="N82" s="160">
        <f t="shared" si="31"/>
        <v>8.5450710394860963E-3</v>
      </c>
      <c r="O82" s="70">
        <f t="shared" si="32"/>
        <v>726954.77011356584</v>
      </c>
    </row>
    <row r="83" spans="1:15" outlineLevel="1" x14ac:dyDescent="0.25">
      <c r="A83" s="122">
        <v>76</v>
      </c>
      <c r="B83" s="70">
        <f>IF($D$1="SAC",-'Price x SAC x SACRE'!G82,IF('Base dinâmica'!$D$1="Price",-'Price x SAC x SACRE'!B82,IF('Base dinâmica'!$D$1="sacre",-'Price x SAC x SACRE'!L82,0)))</f>
        <v>-4100.9182743504398</v>
      </c>
      <c r="C83" s="70">
        <f>IF($D$1="SAC",-'Price x SAC x SACRE'!H82,IF('Base dinâmica'!$D$1="Price",-'Price x SAC x SACRE'!C82,IF('Base dinâmica'!$D$1="sacre",-'Price x SAC x SACRE'!M82,0)))</f>
        <v>-277.94129461112254</v>
      </c>
      <c r="D83" s="70">
        <f>IF($D$1="SAC",-'Price x SAC x SACRE'!I82,IF('Base dinâmica'!$D$1="Price",-'Price x SAC x SACRE'!D82,IF('Base dinâmica'!$D$1="sacre",-'Price x SAC x SACRE'!N82,0)))</f>
        <v>-3822.9769797393174</v>
      </c>
      <c r="E83" s="70">
        <f>IF($D$1="SAC",-'Price x SAC x SACRE'!J82,IF('Base dinâmica'!$D$1="Price",-'Price x SAC x SACRE'!E82,IF('Base dinâmica'!$D$1="sacre",-'Price x SAC x SACRE'!O82,0)))</f>
        <v>-402615.97852168273</v>
      </c>
      <c r="F83" s="70">
        <f t="shared" si="33"/>
        <v>13995.958870687575</v>
      </c>
      <c r="G83" s="70">
        <f t="shared" si="34"/>
        <v>-540.05854317187789</v>
      </c>
      <c r="H83" s="70">
        <f t="shared" si="35"/>
        <v>-319.8808294171892</v>
      </c>
      <c r="I83" s="70">
        <f t="shared" si="29"/>
        <v>13136.019498098509</v>
      </c>
      <c r="J83" s="123">
        <f t="shared" si="30"/>
        <v>4.0741237836483535E-3</v>
      </c>
      <c r="K83" s="123">
        <f t="shared" si="36"/>
        <v>1.6396356814853741E-2</v>
      </c>
      <c r="L83" s="124">
        <f t="shared" si="28"/>
        <v>0.1075</v>
      </c>
      <c r="M83" s="125">
        <f>+Dashboard!$B$36</f>
        <v>1</v>
      </c>
      <c r="N83" s="160">
        <f t="shared" si="31"/>
        <v>8.5450710394860963E-3</v>
      </c>
      <c r="O83" s="70">
        <f t="shared" si="32"/>
        <v>742201.75149042765</v>
      </c>
    </row>
    <row r="84" spans="1:15" outlineLevel="1" x14ac:dyDescent="0.25">
      <c r="A84" s="122">
        <v>77</v>
      </c>
      <c r="B84" s="70">
        <f>IF($D$1="SAC",-'Price x SAC x SACRE'!G83,IF('Base dinâmica'!$D$1="Price",-'Price x SAC x SACRE'!B83,IF('Base dinâmica'!$D$1="sacre",-'Price x SAC x SACRE'!L83,0)))</f>
        <v>-4100.9182743504398</v>
      </c>
      <c r="C84" s="70">
        <f>IF($D$1="SAC",-'Price x SAC x SACRE'!H83,IF('Base dinâmica'!$D$1="Price",-'Price x SAC x SACRE'!C83,IF('Base dinâmica'!$D$1="sacre",-'Price x SAC x SACRE'!M83,0)))</f>
        <v>-280.57862200365742</v>
      </c>
      <c r="D84" s="70">
        <f>IF($D$1="SAC",-'Price x SAC x SACRE'!I83,IF('Base dinâmica'!$D$1="Price",-'Price x SAC x SACRE'!D83,IF('Base dinâmica'!$D$1="sacre",-'Price x SAC x SACRE'!N83,0)))</f>
        <v>-3820.3396523467823</v>
      </c>
      <c r="E84" s="70">
        <f>IF($D$1="SAC",-'Price x SAC x SACRE'!J83,IF('Base dinâmica'!$D$1="Price",-'Price x SAC x SACRE'!E83,IF('Base dinâmica'!$D$1="sacre",-'Price x SAC x SACRE'!O83,0)))</f>
        <v>-402335.39989967906</v>
      </c>
      <c r="F84" s="70">
        <f t="shared" si="33"/>
        <v>13995.958870687575</v>
      </c>
      <c r="G84" s="70">
        <f t="shared" si="34"/>
        <v>-540.05854317187789</v>
      </c>
      <c r="H84" s="70">
        <f t="shared" si="35"/>
        <v>-319.8808294171892</v>
      </c>
      <c r="I84" s="70">
        <f t="shared" si="29"/>
        <v>13136.019498098509</v>
      </c>
      <c r="J84" s="123">
        <f t="shared" si="30"/>
        <v>4.0741237836483535E-3</v>
      </c>
      <c r="K84" s="123">
        <f t="shared" si="36"/>
        <v>2.0537281385766715E-2</v>
      </c>
      <c r="L84" s="124">
        <f t="shared" si="28"/>
        <v>0.1075</v>
      </c>
      <c r="M84" s="125">
        <f>+Dashboard!$B$36</f>
        <v>1</v>
      </c>
      <c r="N84" s="160">
        <f t="shared" si="31"/>
        <v>8.5450710394860963E-3</v>
      </c>
      <c r="O84" s="70">
        <f t="shared" si="32"/>
        <v>757579.01940629247</v>
      </c>
    </row>
    <row r="85" spans="1:15" outlineLevel="1" x14ac:dyDescent="0.25">
      <c r="A85" s="122">
        <v>78</v>
      </c>
      <c r="B85" s="70">
        <f>IF($D$1="SAC",-'Price x SAC x SACRE'!G84,IF('Base dinâmica'!$D$1="Price",-'Price x SAC x SACRE'!B84,IF('Base dinâmica'!$D$1="sacre",-'Price x SAC x SACRE'!L84,0)))</f>
        <v>-4100.9182743504398</v>
      </c>
      <c r="C85" s="70">
        <f>IF($D$1="SAC",-'Price x SAC x SACRE'!H84,IF('Base dinâmica'!$D$1="Price",-'Price x SAC x SACRE'!C84,IF('Base dinâmica'!$D$1="sacre",-'Price x SAC x SACRE'!M84,0)))</f>
        <v>-283.24097444972074</v>
      </c>
      <c r="D85" s="70">
        <f>IF($D$1="SAC",-'Price x SAC x SACRE'!I84,IF('Base dinâmica'!$D$1="Price",-'Price x SAC x SACRE'!D84,IF('Base dinâmica'!$D$1="sacre",-'Price x SAC x SACRE'!N84,0)))</f>
        <v>-3817.6772999007189</v>
      </c>
      <c r="E85" s="70">
        <f>IF($D$1="SAC",-'Price x SAC x SACRE'!J84,IF('Base dinâmica'!$D$1="Price",-'Price x SAC x SACRE'!E84,IF('Base dinâmica'!$D$1="sacre",-'Price x SAC x SACRE'!O84,0)))</f>
        <v>-402052.15892522933</v>
      </c>
      <c r="F85" s="70">
        <f t="shared" si="33"/>
        <v>13995.958870687575</v>
      </c>
      <c r="G85" s="70">
        <f t="shared" si="34"/>
        <v>-540.05854317187789</v>
      </c>
      <c r="H85" s="70">
        <f t="shared" si="35"/>
        <v>-319.8808294171892</v>
      </c>
      <c r="I85" s="70">
        <f t="shared" si="29"/>
        <v>13136.019498098509</v>
      </c>
      <c r="J85" s="123">
        <f t="shared" si="30"/>
        <v>4.0741237836483535E-3</v>
      </c>
      <c r="K85" s="123">
        <f t="shared" si="36"/>
        <v>2.4695076595960375E-2</v>
      </c>
      <c r="L85" s="124">
        <f t="shared" si="28"/>
        <v>0.1075</v>
      </c>
      <c r="M85" s="125">
        <f>+Dashboard!$B$36</f>
        <v>1</v>
      </c>
      <c r="N85" s="160">
        <f t="shared" si="31"/>
        <v>8.5450710394860963E-3</v>
      </c>
      <c r="O85" s="70">
        <f t="shared" si="32"/>
        <v>773087.68716889154</v>
      </c>
    </row>
    <row r="86" spans="1:15" outlineLevel="1" x14ac:dyDescent="0.25">
      <c r="A86" s="122">
        <v>79</v>
      </c>
      <c r="B86" s="70">
        <f>IF($D$1="SAC",-'Price x SAC x SACRE'!G85,IF('Base dinâmica'!$D$1="Price",-'Price x SAC x SACRE'!B85,IF('Base dinâmica'!$D$1="sacre",-'Price x SAC x SACRE'!L85,0)))</f>
        <v>-4100.9182743504398</v>
      </c>
      <c r="C86" s="70">
        <f>IF($D$1="SAC",-'Price x SAC x SACRE'!H85,IF('Base dinâmica'!$D$1="Price",-'Price x SAC x SACRE'!C85,IF('Base dinâmica'!$D$1="sacre",-'Price x SAC x SACRE'!M85,0)))</f>
        <v>-285.92858940686369</v>
      </c>
      <c r="D86" s="70">
        <f>IF($D$1="SAC",-'Price x SAC x SACRE'!I85,IF('Base dinâmica'!$D$1="Price",-'Price x SAC x SACRE'!D85,IF('Base dinâmica'!$D$1="sacre",-'Price x SAC x SACRE'!N85,0)))</f>
        <v>-3814.9896849435759</v>
      </c>
      <c r="E86" s="70">
        <f>IF($D$1="SAC",-'Price x SAC x SACRE'!J85,IF('Base dinâmica'!$D$1="Price",-'Price x SAC x SACRE'!E85,IF('Base dinâmica'!$D$1="sacre",-'Price x SAC x SACRE'!O85,0)))</f>
        <v>-401766.23033582245</v>
      </c>
      <c r="F86" s="70">
        <f t="shared" si="33"/>
        <v>13995.958870687575</v>
      </c>
      <c r="G86" s="70">
        <f t="shared" si="34"/>
        <v>-540.05854317187789</v>
      </c>
      <c r="H86" s="70">
        <f t="shared" si="35"/>
        <v>-319.8808294171892</v>
      </c>
      <c r="I86" s="70">
        <f t="shared" si="29"/>
        <v>13136.019498098509</v>
      </c>
      <c r="J86" s="123">
        <f t="shared" si="30"/>
        <v>4.0741237836483535E-3</v>
      </c>
      <c r="K86" s="123">
        <f t="shared" si="36"/>
        <v>2.8869811178507288E-2</v>
      </c>
      <c r="L86" s="124">
        <f t="shared" si="28"/>
        <v>0.1075</v>
      </c>
      <c r="M86" s="125">
        <f>+Dashboard!$B$36</f>
        <v>1</v>
      </c>
      <c r="N86" s="160">
        <f t="shared" si="31"/>
        <v>8.5450710394860963E-3</v>
      </c>
      <c r="O86" s="70">
        <f t="shared" si="32"/>
        <v>788728.87759924983</v>
      </c>
    </row>
    <row r="87" spans="1:15" outlineLevel="1" x14ac:dyDescent="0.25">
      <c r="A87" s="122">
        <v>80</v>
      </c>
      <c r="B87" s="70">
        <f>IF($D$1="SAC",-'Price x SAC x SACRE'!G86,IF('Base dinâmica'!$D$1="Price",-'Price x SAC x SACRE'!B86,IF('Base dinâmica'!$D$1="sacre",-'Price x SAC x SACRE'!L86,0)))</f>
        <v>-4100.9182743504398</v>
      </c>
      <c r="C87" s="70">
        <f>IF($D$1="SAC",-'Price x SAC x SACRE'!H86,IF('Base dinâmica'!$D$1="Price",-'Price x SAC x SACRE'!C86,IF('Base dinâmica'!$D$1="sacre",-'Price x SAC x SACRE'!M86,0)))</f>
        <v>-288.64170658582282</v>
      </c>
      <c r="D87" s="70">
        <f>IF($D$1="SAC",-'Price x SAC x SACRE'!I86,IF('Base dinâmica'!$D$1="Price",-'Price x SAC x SACRE'!D86,IF('Base dinâmica'!$D$1="sacre",-'Price x SAC x SACRE'!N86,0)))</f>
        <v>-3812.2765677646166</v>
      </c>
      <c r="E87" s="70">
        <f>IF($D$1="SAC",-'Price x SAC x SACRE'!J86,IF('Base dinâmica'!$D$1="Price",-'Price x SAC x SACRE'!E86,IF('Base dinâmica'!$D$1="sacre",-'Price x SAC x SACRE'!O86,0)))</f>
        <v>-401477.58862923662</v>
      </c>
      <c r="F87" s="70">
        <f t="shared" si="33"/>
        <v>13995.958870687575</v>
      </c>
      <c r="G87" s="70">
        <f t="shared" si="34"/>
        <v>-540.05854317187789</v>
      </c>
      <c r="H87" s="70">
        <f t="shared" si="35"/>
        <v>-319.8808294171892</v>
      </c>
      <c r="I87" s="70">
        <f t="shared" si="29"/>
        <v>13136.019498098509</v>
      </c>
      <c r="J87" s="123">
        <f t="shared" si="30"/>
        <v>4.0741237836483535E-3</v>
      </c>
      <c r="K87" s="123">
        <f t="shared" si="36"/>
        <v>3.3061554146507355E-2</v>
      </c>
      <c r="L87" s="124">
        <f t="shared" si="28"/>
        <v>0.1075</v>
      </c>
      <c r="M87" s="125">
        <f>+Dashboard!$B$36</f>
        <v>1</v>
      </c>
      <c r="N87" s="160">
        <f t="shared" si="31"/>
        <v>8.5450710394860963E-3</v>
      </c>
      <c r="O87" s="70">
        <f t="shared" si="32"/>
        <v>804503.72311297758</v>
      </c>
    </row>
    <row r="88" spans="1:15" outlineLevel="1" x14ac:dyDescent="0.25">
      <c r="A88" s="122">
        <v>81</v>
      </c>
      <c r="B88" s="70">
        <f>IF($D$1="SAC",-'Price x SAC x SACRE'!G87,IF('Base dinâmica'!$D$1="Price",-'Price x SAC x SACRE'!B87,IF('Base dinâmica'!$D$1="sacre",-'Price x SAC x SACRE'!L87,0)))</f>
        <v>-4100.9182743504389</v>
      </c>
      <c r="C88" s="70">
        <f>IF($D$1="SAC",-'Price x SAC x SACRE'!H87,IF('Base dinâmica'!$D$1="Price",-'Price x SAC x SACRE'!C87,IF('Base dinâmica'!$D$1="sacre",-'Price x SAC x SACRE'!M87,0)))</f>
        <v>-291.38056797190029</v>
      </c>
      <c r="D88" s="70">
        <f>IF($D$1="SAC",-'Price x SAC x SACRE'!I87,IF('Base dinâmica'!$D$1="Price",-'Price x SAC x SACRE'!D87,IF('Base dinâmica'!$D$1="sacre",-'Price x SAC x SACRE'!N87,0)))</f>
        <v>-3809.537706378539</v>
      </c>
      <c r="E88" s="70">
        <f>IF($D$1="SAC",-'Price x SAC x SACRE'!J87,IF('Base dinâmica'!$D$1="Price",-'Price x SAC x SACRE'!E87,IF('Base dinâmica'!$D$1="sacre",-'Price x SAC x SACRE'!O87,0)))</f>
        <v>-401186.20806126471</v>
      </c>
      <c r="F88" s="70">
        <f t="shared" si="33"/>
        <v>13995.958870687575</v>
      </c>
      <c r="G88" s="70">
        <f t="shared" si="34"/>
        <v>-540.05854317187789</v>
      </c>
      <c r="H88" s="70">
        <f t="shared" si="35"/>
        <v>-319.8808294171892</v>
      </c>
      <c r="I88" s="70">
        <f t="shared" si="29"/>
        <v>13136.019498098509</v>
      </c>
      <c r="J88" s="123">
        <f t="shared" si="30"/>
        <v>4.0741237836483535E-3</v>
      </c>
      <c r="K88" s="123">
        <f t="shared" si="36"/>
        <v>3.7270374794228456E-2</v>
      </c>
      <c r="L88" s="124">
        <f t="shared" si="28"/>
        <v>0.1075</v>
      </c>
      <c r="M88" s="125">
        <f>+Dashboard!$B$36</f>
        <v>1</v>
      </c>
      <c r="N88" s="160">
        <f t="shared" si="31"/>
        <v>8.5450710394860963E-3</v>
      </c>
      <c r="O88" s="70">
        <f t="shared" si="32"/>
        <v>820413.36580225709</v>
      </c>
    </row>
    <row r="89" spans="1:15" outlineLevel="1" x14ac:dyDescent="0.25">
      <c r="A89" s="122">
        <v>82</v>
      </c>
      <c r="B89" s="70">
        <f>IF($D$1="SAC",-'Price x SAC x SACRE'!G88,IF('Base dinâmica'!$D$1="Price",-'Price x SAC x SACRE'!B88,IF('Base dinâmica'!$D$1="sacre",-'Price x SAC x SACRE'!L88,0)))</f>
        <v>-4100.9182743504398</v>
      </c>
      <c r="C89" s="70">
        <f>IF($D$1="SAC",-'Price x SAC x SACRE'!H88,IF('Base dinâmica'!$D$1="Price",-'Price x SAC x SACRE'!C88,IF('Base dinâmica'!$D$1="sacre",-'Price x SAC x SACRE'!M88,0)))</f>
        <v>-294.14541784654705</v>
      </c>
      <c r="D89" s="70">
        <f>IF($D$1="SAC",-'Price x SAC x SACRE'!I88,IF('Base dinâmica'!$D$1="Price",-'Price x SAC x SACRE'!D88,IF('Base dinâmica'!$D$1="sacre",-'Price x SAC x SACRE'!N88,0)))</f>
        <v>-3806.7728565038924</v>
      </c>
      <c r="E89" s="70">
        <f>IF($D$1="SAC",-'Price x SAC x SACRE'!J88,IF('Base dinâmica'!$D$1="Price",-'Price x SAC x SACRE'!E88,IF('Base dinâmica'!$D$1="sacre",-'Price x SAC x SACRE'!O88,0)))</f>
        <v>-400892.06264341815</v>
      </c>
      <c r="F89" s="70">
        <f t="shared" si="33"/>
        <v>13995.958870687575</v>
      </c>
      <c r="G89" s="70">
        <f t="shared" si="34"/>
        <v>-540.05854317187789</v>
      </c>
      <c r="H89" s="70">
        <f t="shared" si="35"/>
        <v>-319.8808294171892</v>
      </c>
      <c r="I89" s="70">
        <f t="shared" si="29"/>
        <v>13136.019498098509</v>
      </c>
      <c r="J89" s="123">
        <f t="shared" si="30"/>
        <v>4.0741237836483535E-3</v>
      </c>
      <c r="K89" s="123">
        <f t="shared" si="36"/>
        <v>4.1496342698251532E-2</v>
      </c>
      <c r="L89" s="124">
        <f t="shared" si="28"/>
        <v>0.1075</v>
      </c>
      <c r="M89" s="125">
        <f>+Dashboard!$B$36</f>
        <v>1</v>
      </c>
      <c r="N89" s="160">
        <f t="shared" si="31"/>
        <v>8.5450710394860963E-3</v>
      </c>
      <c r="O89" s="70">
        <f t="shared" si="32"/>
        <v>836458.95751852938</v>
      </c>
    </row>
    <row r="90" spans="1:15" outlineLevel="1" x14ac:dyDescent="0.25">
      <c r="A90" s="122">
        <v>83</v>
      </c>
      <c r="B90" s="70">
        <f>IF($D$1="SAC",-'Price x SAC x SACRE'!G89,IF('Base dinâmica'!$D$1="Price",-'Price x SAC x SACRE'!B89,IF('Base dinâmica'!$D$1="sacre",-'Price x SAC x SACRE'!L89,0)))</f>
        <v>-4100.9182743504389</v>
      </c>
      <c r="C90" s="70">
        <f>IF($D$1="SAC",-'Price x SAC x SACRE'!H89,IF('Base dinâmica'!$D$1="Price",-'Price x SAC x SACRE'!C89,IF('Base dinâmica'!$D$1="sacre",-'Price x SAC x SACRE'!M89,0)))</f>
        <v>-296.93650280914926</v>
      </c>
      <c r="D90" s="70">
        <f>IF($D$1="SAC",-'Price x SAC x SACRE'!I89,IF('Base dinâmica'!$D$1="Price",-'Price x SAC x SACRE'!D89,IF('Base dinâmica'!$D$1="sacre",-'Price x SAC x SACRE'!N89,0)))</f>
        <v>-3803.9817715412901</v>
      </c>
      <c r="E90" s="70">
        <f>IF($D$1="SAC",-'Price x SAC x SACRE'!J89,IF('Base dinâmica'!$D$1="Price",-'Price x SAC x SACRE'!E89,IF('Base dinâmica'!$D$1="sacre",-'Price x SAC x SACRE'!O89,0)))</f>
        <v>-400595.12614060898</v>
      </c>
      <c r="F90" s="70">
        <f t="shared" si="33"/>
        <v>13995.958870687575</v>
      </c>
      <c r="G90" s="70">
        <f t="shared" si="34"/>
        <v>-540.05854317187789</v>
      </c>
      <c r="H90" s="70">
        <v>0</v>
      </c>
      <c r="I90" s="70">
        <f t="shared" si="29"/>
        <v>13455.900327515697</v>
      </c>
      <c r="J90" s="123">
        <f t="shared" si="30"/>
        <v>4.0741237836483535E-3</v>
      </c>
      <c r="K90" s="123">
        <f t="shared" si="36"/>
        <v>4.573952771862122E-2</v>
      </c>
      <c r="L90" s="124">
        <f t="shared" si="28"/>
        <v>0.1075</v>
      </c>
      <c r="M90" s="125">
        <f>+Dashboard!$B$36</f>
        <v>1</v>
      </c>
      <c r="N90" s="160">
        <f t="shared" si="31"/>
        <v>8.5450710394860963E-3</v>
      </c>
      <c r="O90" s="70">
        <f t="shared" si="32"/>
        <v>852961.54078530485</v>
      </c>
    </row>
    <row r="91" spans="1:15" s="53" customFormat="1" x14ac:dyDescent="0.25">
      <c r="A91" s="68">
        <v>84</v>
      </c>
      <c r="B91" s="64">
        <f>IF($D$1="SAC",-'Price x SAC x SACRE'!G90,IF('Base dinâmica'!$D$1="Price",-'Price x SAC x SACRE'!B90,IF('Base dinâmica'!$D$1="sacre",-'Price x SAC x SACRE'!L90,0)))</f>
        <v>-4100.9182743504389</v>
      </c>
      <c r="C91" s="64">
        <f>IF($D$1="SAC",-'Price x SAC x SACRE'!H90,IF('Base dinâmica'!$D$1="Price",-'Price x SAC x SACRE'!C90,IF('Base dinâmica'!$D$1="sacre",-'Price x SAC x SACRE'!M90,0)))</f>
        <v>-299.75407179902453</v>
      </c>
      <c r="D91" s="64">
        <f>IF($D$1="SAC",-'Price x SAC x SACRE'!I90,IF('Base dinâmica'!$D$1="Price",-'Price x SAC x SACRE'!D90,IF('Base dinâmica'!$D$1="sacre",-'Price x SAC x SACRE'!N90,0)))</f>
        <v>-3801.1642025514143</v>
      </c>
      <c r="E91" s="64">
        <f>IF($D$1="SAC",-'Price x SAC x SACRE'!J90,IF('Base dinâmica'!$D$1="Price",-'Price x SAC x SACRE'!E90,IF('Base dinâmica'!$D$1="sacre",-'Price x SAC x SACRE'!O90,0)))</f>
        <v>-400295.37206880993</v>
      </c>
      <c r="F91" s="64">
        <f>+F90</f>
        <v>13995.958870687575</v>
      </c>
      <c r="G91" s="64">
        <f>+G90</f>
        <v>-540.05854317187789</v>
      </c>
      <c r="H91" s="64">
        <v>0</v>
      </c>
      <c r="I91" s="64">
        <f t="shared" si="29"/>
        <v>13455.900327515697</v>
      </c>
      <c r="J91" s="119">
        <f t="shared" si="30"/>
        <v>4.0741237836483535E-3</v>
      </c>
      <c r="K91" s="119">
        <f t="shared" si="36"/>
        <v>5.0000000000000933E-2</v>
      </c>
      <c r="L91" s="120">
        <f t="shared" si="28"/>
        <v>0.1075</v>
      </c>
      <c r="M91" s="121">
        <f>+Dashboard!$B$36</f>
        <v>1</v>
      </c>
      <c r="N91" s="160">
        <f t="shared" si="31"/>
        <v>8.5450710394860963E-3</v>
      </c>
      <c r="O91" s="64">
        <f t="shared" si="32"/>
        <v>869605.13979843003</v>
      </c>
    </row>
    <row r="92" spans="1:15" outlineLevel="1" x14ac:dyDescent="0.25">
      <c r="A92" s="122">
        <v>85</v>
      </c>
      <c r="B92" s="70">
        <f>IF($D$1="SAC",-'Price x SAC x SACRE'!G91,IF('Base dinâmica'!$D$1="Price",-'Price x SAC x SACRE'!B91,IF('Base dinâmica'!$D$1="sacre",-'Price x SAC x SACRE'!L91,0)))</f>
        <v>-4100.9182743504389</v>
      </c>
      <c r="C92" s="70">
        <f>IF($D$1="SAC",-'Price x SAC x SACRE'!H91,IF('Base dinâmica'!$D$1="Price",-'Price x SAC x SACRE'!C91,IF('Base dinâmica'!$D$1="sacre",-'Price x SAC x SACRE'!M91,0)))</f>
        <v>-302.59837611762356</v>
      </c>
      <c r="D92" s="70">
        <f>IF($D$1="SAC",-'Price x SAC x SACRE'!I91,IF('Base dinâmica'!$D$1="Price",-'Price x SAC x SACRE'!D91,IF('Base dinâmica'!$D$1="sacre",-'Price x SAC x SACRE'!N91,0)))</f>
        <v>-3798.3198982328149</v>
      </c>
      <c r="E92" s="70">
        <f>IF($D$1="SAC",-'Price x SAC x SACRE'!J91,IF('Base dinâmica'!$D$1="Price",-'Price x SAC x SACRE'!E91,IF('Base dinâmica'!$D$1="sacre",-'Price x SAC x SACRE'!O91,0)))</f>
        <v>-399992.77369269228</v>
      </c>
      <c r="F92" s="70">
        <f>+F91*(1+K91)</f>
        <v>14695.756814221966</v>
      </c>
      <c r="G92" s="70">
        <f>+G91*(1+K91)</f>
        <v>-567.06147033047228</v>
      </c>
      <c r="H92" s="70">
        <f>+H89*(1+K91)</f>
        <v>-335.87487088804897</v>
      </c>
      <c r="I92" s="70">
        <f t="shared" si="29"/>
        <v>13792.820473003445</v>
      </c>
      <c r="J92" s="123">
        <f t="shared" si="30"/>
        <v>4.0741237836483535E-3</v>
      </c>
      <c r="K92" s="123">
        <f>+J92</f>
        <v>4.0741237836483535E-3</v>
      </c>
      <c r="L92" s="124">
        <f t="shared" si="28"/>
        <v>0.1075</v>
      </c>
      <c r="M92" s="125">
        <f>+Dashboard!$B$36</f>
        <v>1</v>
      </c>
      <c r="N92" s="160">
        <f t="shared" si="31"/>
        <v>8.5450710394860963E-3</v>
      </c>
      <c r="O92" s="70">
        <f t="shared" si="32"/>
        <v>886727.87969296286</v>
      </c>
    </row>
    <row r="93" spans="1:15" outlineLevel="1" x14ac:dyDescent="0.25">
      <c r="A93" s="122">
        <v>86</v>
      </c>
      <c r="B93" s="70">
        <f>IF($D$1="SAC",-'Price x SAC x SACRE'!G92,IF('Base dinâmica'!$D$1="Price",-'Price x SAC x SACRE'!B92,IF('Base dinâmica'!$D$1="sacre",-'Price x SAC x SACRE'!L92,0)))</f>
        <v>-4100.918274350438</v>
      </c>
      <c r="C93" s="70">
        <f>IF($D$1="SAC",-'Price x SAC x SACRE'!H92,IF('Base dinâmica'!$D$1="Price",-'Price x SAC x SACRE'!C92,IF('Base dinâmica'!$D$1="sacre",-'Price x SAC x SACRE'!M92,0)))</f>
        <v>-305.46966945094476</v>
      </c>
      <c r="D93" s="70">
        <f>IF($D$1="SAC",-'Price x SAC x SACRE'!I92,IF('Base dinâmica'!$D$1="Price",-'Price x SAC x SACRE'!D92,IF('Base dinâmica'!$D$1="sacre",-'Price x SAC x SACRE'!N92,0)))</f>
        <v>-3795.4486048994936</v>
      </c>
      <c r="E93" s="70">
        <f>IF($D$1="SAC",-'Price x SAC x SACRE'!J92,IF('Base dinâmica'!$D$1="Price",-'Price x SAC x SACRE'!E92,IF('Base dinâmica'!$D$1="sacre",-'Price x SAC x SACRE'!O92,0)))</f>
        <v>-399687.30402324133</v>
      </c>
      <c r="F93" s="70">
        <f>+F92</f>
        <v>14695.756814221966</v>
      </c>
      <c r="G93" s="70">
        <f>+G92</f>
        <v>-567.06147033047228</v>
      </c>
      <c r="H93" s="70">
        <f>+H92</f>
        <v>-335.87487088804897</v>
      </c>
      <c r="I93" s="70">
        <f t="shared" si="29"/>
        <v>13792.820473003445</v>
      </c>
      <c r="J93" s="123">
        <f t="shared" si="30"/>
        <v>4.0741237836483535E-3</v>
      </c>
      <c r="K93" s="123">
        <f>((+K92+1)*(J93+1))-1</f>
        <v>8.1648460519012644E-3</v>
      </c>
      <c r="L93" s="124">
        <f t="shared" si="28"/>
        <v>0.1075</v>
      </c>
      <c r="M93" s="125">
        <f>+Dashboard!$B$36</f>
        <v>1</v>
      </c>
      <c r="N93" s="160">
        <f t="shared" si="31"/>
        <v>8.5450710394860963E-3</v>
      </c>
      <c r="O93" s="70">
        <f t="shared" si="32"/>
        <v>903996.93461628503</v>
      </c>
    </row>
    <row r="94" spans="1:15" outlineLevel="1" x14ac:dyDescent="0.25">
      <c r="A94" s="122">
        <v>87</v>
      </c>
      <c r="B94" s="70">
        <f>IF($D$1="SAC",-'Price x SAC x SACRE'!G93,IF('Base dinâmica'!$D$1="Price",-'Price x SAC x SACRE'!B93,IF('Base dinâmica'!$D$1="sacre",-'Price x SAC x SACRE'!L93,0)))</f>
        <v>-4100.9182743504389</v>
      </c>
      <c r="C94" s="70">
        <f>IF($D$1="SAC",-'Price x SAC x SACRE'!H93,IF('Base dinâmica'!$D$1="Price",-'Price x SAC x SACRE'!C93,IF('Base dinâmica'!$D$1="sacre",-'Price x SAC x SACRE'!M93,0)))</f>
        <v>-308.36820789216029</v>
      </c>
      <c r="D94" s="70">
        <f>IF($D$1="SAC",-'Price x SAC x SACRE'!I93,IF('Base dinâmica'!$D$1="Price",-'Price x SAC x SACRE'!D93,IF('Base dinâmica'!$D$1="sacre",-'Price x SAC x SACRE'!N93,0)))</f>
        <v>-3792.5500664582783</v>
      </c>
      <c r="E94" s="70">
        <f>IF($D$1="SAC",-'Price x SAC x SACRE'!J93,IF('Base dinâmica'!$D$1="Price",-'Price x SAC x SACRE'!E93,IF('Base dinâmica'!$D$1="sacre",-'Price x SAC x SACRE'!O93,0)))</f>
        <v>-399378.93581534916</v>
      </c>
      <c r="F94" s="70">
        <f t="shared" ref="F94:F102" si="37">+F93</f>
        <v>14695.756814221966</v>
      </c>
      <c r="G94" s="70">
        <f t="shared" ref="G94:G102" si="38">+G93</f>
        <v>-567.06147033047228</v>
      </c>
      <c r="H94" s="70">
        <f t="shared" ref="H94:H101" si="39">+H93</f>
        <v>-335.87487088804897</v>
      </c>
      <c r="I94" s="70">
        <f t="shared" si="29"/>
        <v>13792.820473003445</v>
      </c>
      <c r="J94" s="123">
        <f t="shared" si="30"/>
        <v>4.0741237836483535E-3</v>
      </c>
      <c r="K94" s="123">
        <f t="shared" ref="K94:K103" si="40">((+K93+1)*(J94+1))-1</f>
        <v>1.2272234429039575E-2</v>
      </c>
      <c r="L94" s="124">
        <f t="shared" si="28"/>
        <v>0.1075</v>
      </c>
      <c r="M94" s="125">
        <f>+Dashboard!$B$36</f>
        <v>1</v>
      </c>
      <c r="N94" s="160">
        <f t="shared" si="31"/>
        <v>8.5450710394860963E-3</v>
      </c>
      <c r="O94" s="70">
        <f t="shared" si="32"/>
        <v>921413.55484071188</v>
      </c>
    </row>
    <row r="95" spans="1:15" outlineLevel="1" x14ac:dyDescent="0.25">
      <c r="A95" s="122">
        <v>88</v>
      </c>
      <c r="B95" s="70">
        <f>IF($D$1="SAC",-'Price x SAC x SACRE'!G94,IF('Base dinâmica'!$D$1="Price",-'Price x SAC x SACRE'!B94,IF('Base dinâmica'!$D$1="sacre",-'Price x SAC x SACRE'!L94,0)))</f>
        <v>-4100.918274350438</v>
      </c>
      <c r="C95" s="70">
        <f>IF($D$1="SAC",-'Price x SAC x SACRE'!H94,IF('Base dinâmica'!$D$1="Price",-'Price x SAC x SACRE'!C94,IF('Base dinâmica'!$D$1="sacre",-'Price x SAC x SACRE'!M94,0)))</f>
        <v>-311.29424996445744</v>
      </c>
      <c r="D95" s="70">
        <f>IF($D$1="SAC",-'Price x SAC x SACRE'!I94,IF('Base dinâmica'!$D$1="Price",-'Price x SAC x SACRE'!D94,IF('Base dinâmica'!$D$1="sacre",-'Price x SAC x SACRE'!N94,0)))</f>
        <v>-3789.6240243859806</v>
      </c>
      <c r="E95" s="70">
        <f>IF($D$1="SAC",-'Price x SAC x SACRE'!J94,IF('Base dinâmica'!$D$1="Price",-'Price x SAC x SACRE'!E94,IF('Base dinâmica'!$D$1="sacre",-'Price x SAC x SACRE'!O94,0)))</f>
        <v>-399067.64156538469</v>
      </c>
      <c r="F95" s="70">
        <f t="shared" si="37"/>
        <v>14695.756814221966</v>
      </c>
      <c r="G95" s="70">
        <f t="shared" si="38"/>
        <v>-567.06147033047228</v>
      </c>
      <c r="H95" s="70">
        <f t="shared" si="39"/>
        <v>-335.87487088804897</v>
      </c>
      <c r="I95" s="70">
        <f t="shared" si="29"/>
        <v>13792.820473003445</v>
      </c>
      <c r="J95" s="123">
        <f t="shared" si="30"/>
        <v>4.0741237836483535E-3</v>
      </c>
      <c r="K95" s="123">
        <f t="shared" si="40"/>
        <v>1.6396356814853741E-2</v>
      </c>
      <c r="L95" s="124">
        <f t="shared" si="28"/>
        <v>0.1075</v>
      </c>
      <c r="M95" s="125">
        <f>+Dashboard!$B$36</f>
        <v>1</v>
      </c>
      <c r="N95" s="160">
        <f t="shared" si="31"/>
        <v>8.5450710394860963E-3</v>
      </c>
      <c r="O95" s="70">
        <f t="shared" si="32"/>
        <v>938979.00132222415</v>
      </c>
    </row>
    <row r="96" spans="1:15" outlineLevel="1" x14ac:dyDescent="0.25">
      <c r="A96" s="122">
        <v>89</v>
      </c>
      <c r="B96" s="70">
        <f>IF($D$1="SAC",-'Price x SAC x SACRE'!G95,IF('Base dinâmica'!$D$1="Price",-'Price x SAC x SACRE'!B95,IF('Base dinâmica'!$D$1="sacre",-'Price x SAC x SACRE'!L95,0)))</f>
        <v>-4100.918274350438</v>
      </c>
      <c r="C96" s="70">
        <f>IF($D$1="SAC",-'Price x SAC x SACRE'!H95,IF('Base dinâmica'!$D$1="Price",-'Price x SAC x SACRE'!C95,IF('Base dinâmica'!$D$1="sacre",-'Price x SAC x SACRE'!M95,0)))</f>
        <v>-314.24805664409661</v>
      </c>
      <c r="D96" s="70">
        <f>IF($D$1="SAC",-'Price x SAC x SACRE'!I95,IF('Base dinâmica'!$D$1="Price",-'Price x SAC x SACRE'!D95,IF('Base dinâmica'!$D$1="sacre",-'Price x SAC x SACRE'!N95,0)))</f>
        <v>-3786.6702177063416</v>
      </c>
      <c r="E96" s="70">
        <f>IF($D$1="SAC",-'Price x SAC x SACRE'!J95,IF('Base dinâmica'!$D$1="Price",-'Price x SAC x SACRE'!E95,IF('Base dinâmica'!$D$1="sacre",-'Price x SAC x SACRE'!O95,0)))</f>
        <v>-398753.39350874058</v>
      </c>
      <c r="F96" s="70">
        <f t="shared" si="37"/>
        <v>14695.756814221966</v>
      </c>
      <c r="G96" s="70">
        <f t="shared" si="38"/>
        <v>-567.06147033047228</v>
      </c>
      <c r="H96" s="70">
        <f t="shared" si="39"/>
        <v>-335.87487088804897</v>
      </c>
      <c r="I96" s="70">
        <f t="shared" si="29"/>
        <v>13792.820473003445</v>
      </c>
      <c r="J96" s="123">
        <f t="shared" si="30"/>
        <v>4.0741237836483535E-3</v>
      </c>
      <c r="K96" s="123">
        <f t="shared" si="40"/>
        <v>2.0537281385766715E-2</v>
      </c>
      <c r="L96" s="124">
        <f t="shared" si="28"/>
        <v>0.1075</v>
      </c>
      <c r="M96" s="125">
        <f>+Dashboard!$B$36</f>
        <v>1</v>
      </c>
      <c r="N96" s="160">
        <f t="shared" si="31"/>
        <v>8.5450710394860963E-3</v>
      </c>
      <c r="O96" s="70">
        <f t="shared" si="32"/>
        <v>956694.54579176125</v>
      </c>
    </row>
    <row r="97" spans="1:15" outlineLevel="1" x14ac:dyDescent="0.25">
      <c r="A97" s="122">
        <v>90</v>
      </c>
      <c r="B97" s="70">
        <f>IF($D$1="SAC",-'Price x SAC x SACRE'!G96,IF('Base dinâmica'!$D$1="Price",-'Price x SAC x SACRE'!B96,IF('Base dinâmica'!$D$1="sacre",-'Price x SAC x SACRE'!L96,0)))</f>
        <v>-4100.918274350438</v>
      </c>
      <c r="C97" s="70">
        <f>IF($D$1="SAC",-'Price x SAC x SACRE'!H96,IF('Base dinâmica'!$D$1="Price",-'Price x SAC x SACRE'!C96,IF('Base dinâmica'!$D$1="sacre",-'Price x SAC x SACRE'!M96,0)))</f>
        <v>-317.22989138368752</v>
      </c>
      <c r="D97" s="70">
        <f>IF($D$1="SAC",-'Price x SAC x SACRE'!I96,IF('Base dinâmica'!$D$1="Price",-'Price x SAC x SACRE'!D96,IF('Base dinâmica'!$D$1="sacre",-'Price x SAC x SACRE'!N96,0)))</f>
        <v>-3783.6883829667504</v>
      </c>
      <c r="E97" s="70">
        <f>IF($D$1="SAC",-'Price x SAC x SACRE'!J96,IF('Base dinâmica'!$D$1="Price",-'Price x SAC x SACRE'!E96,IF('Base dinâmica'!$D$1="sacre",-'Price x SAC x SACRE'!O96,0)))</f>
        <v>-398436.16361735691</v>
      </c>
      <c r="F97" s="70">
        <f t="shared" si="37"/>
        <v>14695.756814221966</v>
      </c>
      <c r="G97" s="70">
        <f t="shared" si="38"/>
        <v>-567.06147033047228</v>
      </c>
      <c r="H97" s="70">
        <f t="shared" si="39"/>
        <v>-335.87487088804897</v>
      </c>
      <c r="I97" s="70">
        <f t="shared" si="29"/>
        <v>13792.820473003445</v>
      </c>
      <c r="J97" s="123">
        <f t="shared" si="30"/>
        <v>4.0741237836483535E-3</v>
      </c>
      <c r="K97" s="123">
        <f t="shared" si="40"/>
        <v>2.4695076595960375E-2</v>
      </c>
      <c r="L97" s="124">
        <f t="shared" si="28"/>
        <v>0.1075</v>
      </c>
      <c r="M97" s="125">
        <f>+Dashboard!$B$36</f>
        <v>1</v>
      </c>
      <c r="N97" s="160">
        <f t="shared" si="31"/>
        <v>8.5450710394860963E-3</v>
      </c>
      <c r="O97" s="70">
        <f t="shared" si="32"/>
        <v>974561.47084729373</v>
      </c>
    </row>
    <row r="98" spans="1:15" outlineLevel="1" x14ac:dyDescent="0.25">
      <c r="A98" s="122">
        <v>91</v>
      </c>
      <c r="B98" s="70">
        <f>IF($D$1="SAC",-'Price x SAC x SACRE'!G97,IF('Base dinâmica'!$D$1="Price",-'Price x SAC x SACRE'!B97,IF('Base dinâmica'!$D$1="sacre",-'Price x SAC x SACRE'!L97,0)))</f>
        <v>-4100.9182743504389</v>
      </c>
      <c r="C98" s="70">
        <f>IF($D$1="SAC",-'Price x SAC x SACRE'!H97,IF('Base dinâmica'!$D$1="Price",-'Price x SAC x SACRE'!C97,IF('Base dinâmica'!$D$1="sacre",-'Price x SAC x SACRE'!M97,0)))</f>
        <v>-320.2400201356877</v>
      </c>
      <c r="D98" s="70">
        <f>IF($D$1="SAC",-'Price x SAC x SACRE'!I97,IF('Base dinâmica'!$D$1="Price",-'Price x SAC x SACRE'!D97,IF('Base dinâmica'!$D$1="sacre",-'Price x SAC x SACRE'!N97,0)))</f>
        <v>-3780.6782542147507</v>
      </c>
      <c r="E98" s="70">
        <f>IF($D$1="SAC",-'Price x SAC x SACRE'!J97,IF('Base dinâmica'!$D$1="Price",-'Price x SAC x SACRE'!E97,IF('Base dinâmica'!$D$1="sacre",-'Price x SAC x SACRE'!O97,0)))</f>
        <v>-398115.9235972212</v>
      </c>
      <c r="F98" s="70">
        <f t="shared" si="37"/>
        <v>14695.756814221966</v>
      </c>
      <c r="G98" s="70">
        <f t="shared" si="38"/>
        <v>-567.06147033047228</v>
      </c>
      <c r="H98" s="70">
        <f t="shared" si="39"/>
        <v>-335.87487088804897</v>
      </c>
      <c r="I98" s="70">
        <f t="shared" si="29"/>
        <v>13792.820473003445</v>
      </c>
      <c r="J98" s="123">
        <f t="shared" si="30"/>
        <v>4.0741237836483535E-3</v>
      </c>
      <c r="K98" s="123">
        <f t="shared" si="40"/>
        <v>2.8869811178507288E-2</v>
      </c>
      <c r="L98" s="124">
        <f t="shared" si="28"/>
        <v>0.1075</v>
      </c>
      <c r="M98" s="125">
        <f>+Dashboard!$B$36</f>
        <v>1</v>
      </c>
      <c r="N98" s="160">
        <f t="shared" si="31"/>
        <v>8.5450710394860963E-3</v>
      </c>
      <c r="O98" s="70">
        <f t="shared" si="32"/>
        <v>992581.07004668284</v>
      </c>
    </row>
    <row r="99" spans="1:15" outlineLevel="1" x14ac:dyDescent="0.25">
      <c r="A99" s="122">
        <v>92</v>
      </c>
      <c r="B99" s="70">
        <f>IF($D$1="SAC",-'Price x SAC x SACRE'!G98,IF('Base dinâmica'!$D$1="Price",-'Price x SAC x SACRE'!B98,IF('Base dinâmica'!$D$1="sacre",-'Price x SAC x SACRE'!L98,0)))</f>
        <v>-4100.918274350438</v>
      </c>
      <c r="C99" s="70">
        <f>IF($D$1="SAC",-'Price x SAC x SACRE'!H98,IF('Base dinâmica'!$D$1="Price",-'Price x SAC x SACRE'!C98,IF('Base dinâmica'!$D$1="sacre",-'Price x SAC x SACRE'!M98,0)))</f>
        <v>-323.27871137612186</v>
      </c>
      <c r="D99" s="70">
        <f>IF($D$1="SAC",-'Price x SAC x SACRE'!I98,IF('Base dinâmica'!$D$1="Price",-'Price x SAC x SACRE'!D98,IF('Base dinâmica'!$D$1="sacre",-'Price x SAC x SACRE'!N98,0)))</f>
        <v>-3777.639562974316</v>
      </c>
      <c r="E99" s="70">
        <f>IF($D$1="SAC",-'Price x SAC x SACRE'!J98,IF('Base dinâmica'!$D$1="Price",-'Price x SAC x SACRE'!E98,IF('Base dinâmica'!$D$1="sacre",-'Price x SAC x SACRE'!O98,0)))</f>
        <v>-397792.64488584507</v>
      </c>
      <c r="F99" s="70">
        <f t="shared" si="37"/>
        <v>14695.756814221966</v>
      </c>
      <c r="G99" s="70">
        <f t="shared" si="38"/>
        <v>-567.06147033047228</v>
      </c>
      <c r="H99" s="70">
        <f t="shared" si="39"/>
        <v>-335.87487088804897</v>
      </c>
      <c r="I99" s="70">
        <f t="shared" si="29"/>
        <v>13792.820473003445</v>
      </c>
      <c r="J99" s="123">
        <f t="shared" si="30"/>
        <v>4.0741237836483535E-3</v>
      </c>
      <c r="K99" s="123">
        <f t="shared" si="40"/>
        <v>3.3061554146507355E-2</v>
      </c>
      <c r="L99" s="124">
        <f t="shared" si="28"/>
        <v>0.1075</v>
      </c>
      <c r="M99" s="125">
        <f>+Dashboard!$B$36</f>
        <v>1</v>
      </c>
      <c r="N99" s="160">
        <f t="shared" si="31"/>
        <v>8.5450710394860963E-3</v>
      </c>
      <c r="O99" s="70">
        <f t="shared" si="32"/>
        <v>1010754.6480013338</v>
      </c>
    </row>
    <row r="100" spans="1:15" outlineLevel="1" x14ac:dyDescent="0.25">
      <c r="A100" s="122">
        <v>93</v>
      </c>
      <c r="B100" s="70">
        <f>IF($D$1="SAC",-'Price x SAC x SACRE'!G99,IF('Base dinâmica'!$D$1="Price",-'Price x SAC x SACRE'!B99,IF('Base dinâmica'!$D$1="sacre",-'Price x SAC x SACRE'!L99,0)))</f>
        <v>-4100.918274350438</v>
      </c>
      <c r="C100" s="70">
        <f>IF($D$1="SAC",-'Price x SAC x SACRE'!H99,IF('Base dinâmica'!$D$1="Price",-'Price x SAC x SACRE'!C99,IF('Base dinâmica'!$D$1="sacre",-'Price x SAC x SACRE'!M99,0)))</f>
        <v>-326.34623612852869</v>
      </c>
      <c r="D100" s="70">
        <f>IF($D$1="SAC",-'Price x SAC x SACRE'!I99,IF('Base dinâmica'!$D$1="Price",-'Price x SAC x SACRE'!D99,IF('Base dinâmica'!$D$1="sacre",-'Price x SAC x SACRE'!N99,0)))</f>
        <v>-3774.5720382219092</v>
      </c>
      <c r="E100" s="70">
        <f>IF($D$1="SAC",-'Price x SAC x SACRE'!J99,IF('Base dinâmica'!$D$1="Price",-'Price x SAC x SACRE'!E99,IF('Base dinâmica'!$D$1="sacre",-'Price x SAC x SACRE'!O99,0)))</f>
        <v>-397466.29864971654</v>
      </c>
      <c r="F100" s="70">
        <f t="shared" si="37"/>
        <v>14695.756814221966</v>
      </c>
      <c r="G100" s="70">
        <f t="shared" si="38"/>
        <v>-567.06147033047228</v>
      </c>
      <c r="H100" s="70">
        <f t="shared" si="39"/>
        <v>-335.87487088804897</v>
      </c>
      <c r="I100" s="70">
        <f t="shared" si="29"/>
        <v>13792.820473003445</v>
      </c>
      <c r="J100" s="123">
        <f t="shared" si="30"/>
        <v>4.0741237836483535E-3</v>
      </c>
      <c r="K100" s="123">
        <f t="shared" si="40"/>
        <v>3.7270374794228456E-2</v>
      </c>
      <c r="L100" s="124">
        <f t="shared" si="28"/>
        <v>0.1075</v>
      </c>
      <c r="M100" s="125">
        <f>+Dashboard!$B$36</f>
        <v>1</v>
      </c>
      <c r="N100" s="160">
        <f t="shared" si="31"/>
        <v>8.5450710394860963E-3</v>
      </c>
      <c r="O100" s="70">
        <f t="shared" si="32"/>
        <v>1029083.5204706489</v>
      </c>
    </row>
    <row r="101" spans="1:15" outlineLevel="1" x14ac:dyDescent="0.25">
      <c r="A101" s="122">
        <v>94</v>
      </c>
      <c r="B101" s="70">
        <f>IF($D$1="SAC",-'Price x SAC x SACRE'!G100,IF('Base dinâmica'!$D$1="Price",-'Price x SAC x SACRE'!B100,IF('Base dinâmica'!$D$1="sacre",-'Price x SAC x SACRE'!L100,0)))</f>
        <v>-4100.918274350438</v>
      </c>
      <c r="C101" s="70">
        <f>IF($D$1="SAC",-'Price x SAC x SACRE'!H100,IF('Base dinâmica'!$D$1="Price",-'Price x SAC x SACRE'!C100,IF('Base dinâmica'!$D$1="sacre",-'Price x SAC x SACRE'!M100,0)))</f>
        <v>-329.44286798813283</v>
      </c>
      <c r="D101" s="70">
        <f>IF($D$1="SAC",-'Price x SAC x SACRE'!I100,IF('Base dinâmica'!$D$1="Price",-'Price x SAC x SACRE'!D100,IF('Base dinâmica'!$D$1="sacre",-'Price x SAC x SACRE'!N100,0)))</f>
        <v>-3771.475406362305</v>
      </c>
      <c r="E101" s="70">
        <f>IF($D$1="SAC",-'Price x SAC x SACRE'!J100,IF('Base dinâmica'!$D$1="Price",-'Price x SAC x SACRE'!E100,IF('Base dinâmica'!$D$1="sacre",-'Price x SAC x SACRE'!O100,0)))</f>
        <v>-397136.8557817284</v>
      </c>
      <c r="F101" s="70">
        <f t="shared" si="37"/>
        <v>14695.756814221966</v>
      </c>
      <c r="G101" s="70">
        <f t="shared" si="38"/>
        <v>-567.06147033047228</v>
      </c>
      <c r="H101" s="70">
        <f t="shared" si="39"/>
        <v>-335.87487088804897</v>
      </c>
      <c r="I101" s="70">
        <f t="shared" si="29"/>
        <v>13792.820473003445</v>
      </c>
      <c r="J101" s="123">
        <f t="shared" si="30"/>
        <v>4.0741237836483535E-3</v>
      </c>
      <c r="K101" s="123">
        <f t="shared" si="40"/>
        <v>4.1496342698251532E-2</v>
      </c>
      <c r="L101" s="124">
        <f t="shared" si="28"/>
        <v>0.1075</v>
      </c>
      <c r="M101" s="125">
        <f>+Dashboard!$B$36</f>
        <v>1</v>
      </c>
      <c r="N101" s="160">
        <f t="shared" si="31"/>
        <v>8.5450710394860963E-3</v>
      </c>
      <c r="O101" s="70">
        <f t="shared" si="32"/>
        <v>1047569.014457288</v>
      </c>
    </row>
    <row r="102" spans="1:15" outlineLevel="1" x14ac:dyDescent="0.25">
      <c r="A102" s="122">
        <v>95</v>
      </c>
      <c r="B102" s="70">
        <f>IF($D$1="SAC",-'Price x SAC x SACRE'!G101,IF('Base dinâmica'!$D$1="Price",-'Price x SAC x SACRE'!B101,IF('Base dinâmica'!$D$1="sacre",-'Price x SAC x SACRE'!L101,0)))</f>
        <v>-4100.918274350438</v>
      </c>
      <c r="C102" s="70">
        <f>IF($D$1="SAC",-'Price x SAC x SACRE'!H101,IF('Base dinâmica'!$D$1="Price",-'Price x SAC x SACRE'!C101,IF('Base dinâmica'!$D$1="sacre",-'Price x SAC x SACRE'!M101,0)))</f>
        <v>-332.56888314624746</v>
      </c>
      <c r="D102" s="70">
        <f>IF($D$1="SAC",-'Price x SAC x SACRE'!I101,IF('Base dinâmica'!$D$1="Price",-'Price x SAC x SACRE'!D101,IF('Base dinâmica'!$D$1="sacre",-'Price x SAC x SACRE'!N101,0)))</f>
        <v>-3768.3493912041904</v>
      </c>
      <c r="E102" s="70">
        <f>IF($D$1="SAC",-'Price x SAC x SACRE'!J101,IF('Base dinâmica'!$D$1="Price",-'Price x SAC x SACRE'!E101,IF('Base dinâmica'!$D$1="sacre",-'Price x SAC x SACRE'!O101,0)))</f>
        <v>-396804.28689858213</v>
      </c>
      <c r="F102" s="70">
        <f t="shared" si="37"/>
        <v>14695.756814221966</v>
      </c>
      <c r="G102" s="70">
        <f t="shared" si="38"/>
        <v>-567.06147033047228</v>
      </c>
      <c r="H102" s="70">
        <v>0</v>
      </c>
      <c r="I102" s="70">
        <f t="shared" si="29"/>
        <v>14128.695343891493</v>
      </c>
      <c r="J102" s="123">
        <f t="shared" si="30"/>
        <v>4.0741237836483535E-3</v>
      </c>
      <c r="K102" s="123">
        <f t="shared" si="40"/>
        <v>4.573952771862122E-2</v>
      </c>
      <c r="L102" s="124">
        <f t="shared" si="28"/>
        <v>0.1075</v>
      </c>
      <c r="M102" s="125">
        <f>+Dashboard!$B$36</f>
        <v>1</v>
      </c>
      <c r="N102" s="160">
        <f t="shared" si="31"/>
        <v>8.5450710394860963E-3</v>
      </c>
      <c r="O102" s="70">
        <f t="shared" si="32"/>
        <v>1066548.3431741309</v>
      </c>
    </row>
    <row r="103" spans="1:15" s="53" customFormat="1" x14ac:dyDescent="0.25">
      <c r="A103" s="68">
        <v>96</v>
      </c>
      <c r="B103" s="64">
        <f>IF($D$1="SAC",-'Price x SAC x SACRE'!G102,IF('Base dinâmica'!$D$1="Price",-'Price x SAC x SACRE'!B102,IF('Base dinâmica'!$D$1="sacre",-'Price x SAC x SACRE'!L102,0)))</f>
        <v>-4100.918274350438</v>
      </c>
      <c r="C103" s="64">
        <f>IF($D$1="SAC",-'Price x SAC x SACRE'!H102,IF('Base dinâmica'!$D$1="Price",-'Price x SAC x SACRE'!C102,IF('Base dinâmica'!$D$1="sacre",-'Price x SAC x SACRE'!M102,0)))</f>
        <v>-335.72456041490773</v>
      </c>
      <c r="D103" s="64">
        <f>IF($D$1="SAC",-'Price x SAC x SACRE'!I102,IF('Base dinâmica'!$D$1="Price",-'Price x SAC x SACRE'!D102,IF('Base dinâmica'!$D$1="sacre",-'Price x SAC x SACRE'!N102,0)))</f>
        <v>-3765.19371393553</v>
      </c>
      <c r="E103" s="64">
        <f>IF($D$1="SAC",-'Price x SAC x SACRE'!J102,IF('Base dinâmica'!$D$1="Price",-'Price x SAC x SACRE'!E102,IF('Base dinâmica'!$D$1="sacre",-'Price x SAC x SACRE'!O102,0)))</f>
        <v>-396468.56233816722</v>
      </c>
      <c r="F103" s="64">
        <f>+F102</f>
        <v>14695.756814221966</v>
      </c>
      <c r="G103" s="64">
        <f>+G102</f>
        <v>-567.06147033047228</v>
      </c>
      <c r="H103" s="64">
        <v>0</v>
      </c>
      <c r="I103" s="64">
        <f t="shared" si="29"/>
        <v>14128.695343891493</v>
      </c>
      <c r="J103" s="119">
        <f t="shared" si="30"/>
        <v>4.0741237836483535E-3</v>
      </c>
      <c r="K103" s="119">
        <f t="shared" si="40"/>
        <v>5.0000000000000933E-2</v>
      </c>
      <c r="L103" s="120">
        <f t="shared" si="28"/>
        <v>0.1075</v>
      </c>
      <c r="M103" s="121">
        <f>+Dashboard!$B$36</f>
        <v>1</v>
      </c>
      <c r="N103" s="160">
        <f t="shared" si="31"/>
        <v>8.5450710394860963E-3</v>
      </c>
      <c r="O103" s="64">
        <f t="shared" si="32"/>
        <v>1085689.8516031411</v>
      </c>
    </row>
    <row r="104" spans="1:15" outlineLevel="1" x14ac:dyDescent="0.25">
      <c r="A104" s="122">
        <v>97</v>
      </c>
      <c r="B104" s="70">
        <f>IF($D$1="SAC",-'Price x SAC x SACRE'!G103,IF('Base dinâmica'!$D$1="Price",-'Price x SAC x SACRE'!B103,IF('Base dinâmica'!$D$1="sacre",-'Price x SAC x SACRE'!L103,0)))</f>
        <v>-4100.9182743504371</v>
      </c>
      <c r="C104" s="70">
        <f>IF($D$1="SAC",-'Price x SAC x SACRE'!H103,IF('Base dinâmica'!$D$1="Price",-'Price x SAC x SACRE'!C103,IF('Base dinâmica'!$D$1="sacre",-'Price x SAC x SACRE'!M103,0)))</f>
        <v>-338.91018125173872</v>
      </c>
      <c r="D104" s="70">
        <f>IF($D$1="SAC",-'Price x SAC x SACRE'!I103,IF('Base dinâmica'!$D$1="Price",-'Price x SAC x SACRE'!D103,IF('Base dinâmica'!$D$1="sacre",-'Price x SAC x SACRE'!N103,0)))</f>
        <v>-3762.0080930986987</v>
      </c>
      <c r="E104" s="70">
        <f>IF($D$1="SAC",-'Price x SAC x SACRE'!J103,IF('Base dinâmica'!$D$1="Price",-'Price x SAC x SACRE'!E103,IF('Base dinâmica'!$D$1="sacre",-'Price x SAC x SACRE'!O103,0)))</f>
        <v>-396129.65215691546</v>
      </c>
      <c r="F104" s="70">
        <f>+F103*(1+K103)</f>
        <v>15430.544654933077</v>
      </c>
      <c r="G104" s="70">
        <f>+G103*(1+K103)</f>
        <v>-595.41454384699637</v>
      </c>
      <c r="H104" s="70">
        <f>+H101*(1+K103)</f>
        <v>-352.66861443245176</v>
      </c>
      <c r="I104" s="70">
        <f t="shared" si="29"/>
        <v>14482.461496653628</v>
      </c>
      <c r="J104" s="123">
        <f t="shared" si="30"/>
        <v>4.0741237836483535E-3</v>
      </c>
      <c r="K104" s="123">
        <f>+J104</f>
        <v>4.0741237836483535E-3</v>
      </c>
      <c r="L104" s="124">
        <f t="shared" si="28"/>
        <v>0.1075</v>
      </c>
      <c r="M104" s="125">
        <f>+Dashboard!$B$36</f>
        <v>1</v>
      </c>
      <c r="N104" s="160">
        <f t="shared" si="31"/>
        <v>8.5450710394860963E-3</v>
      </c>
      <c r="O104" s="70">
        <f t="shared" si="32"/>
        <v>1105348.6917342423</v>
      </c>
    </row>
    <row r="105" spans="1:15" outlineLevel="1" x14ac:dyDescent="0.25">
      <c r="A105" s="122">
        <v>98</v>
      </c>
      <c r="B105" s="70">
        <f>IF($D$1="SAC",-'Price x SAC x SACRE'!G104,IF('Base dinâmica'!$D$1="Price",-'Price x SAC x SACRE'!B104,IF('Base dinâmica'!$D$1="sacre",-'Price x SAC x SACRE'!L104,0)))</f>
        <v>-4100.9182743504371</v>
      </c>
      <c r="C105" s="70">
        <f>IF($D$1="SAC",-'Price x SAC x SACRE'!H104,IF('Base dinâmica'!$D$1="Price",-'Price x SAC x SACRE'!C104,IF('Base dinâmica'!$D$1="sacre",-'Price x SAC x SACRE'!M104,0)))</f>
        <v>-342.12602978505851</v>
      </c>
      <c r="D105" s="70">
        <f>IF($D$1="SAC",-'Price x SAC x SACRE'!I104,IF('Base dinâmica'!$D$1="Price",-'Price x SAC x SACRE'!D104,IF('Base dinâmica'!$D$1="sacre",-'Price x SAC x SACRE'!N104,0)))</f>
        <v>-3758.792244565379</v>
      </c>
      <c r="E105" s="70">
        <f>IF($D$1="SAC",-'Price x SAC x SACRE'!J104,IF('Base dinâmica'!$D$1="Price",-'Price x SAC x SACRE'!E104,IF('Base dinâmica'!$D$1="sacre",-'Price x SAC x SACRE'!O104,0)))</f>
        <v>-395787.52612713038</v>
      </c>
      <c r="F105" s="70">
        <f>+F104</f>
        <v>15430.544654933077</v>
      </c>
      <c r="G105" s="70">
        <f>+G104</f>
        <v>-595.41454384699637</v>
      </c>
      <c r="H105" s="70">
        <f>+H104</f>
        <v>-352.66861443245176</v>
      </c>
      <c r="I105" s="70">
        <f t="shared" si="29"/>
        <v>14482.461496653628</v>
      </c>
      <c r="J105" s="123">
        <f t="shared" si="30"/>
        <v>4.0741237836483535E-3</v>
      </c>
      <c r="K105" s="123">
        <f>((+K104+1)*(J105+1))-1</f>
        <v>8.1648460519012644E-3</v>
      </c>
      <c r="L105" s="124">
        <f t="shared" si="28"/>
        <v>0.1075</v>
      </c>
      <c r="M105" s="125">
        <f>+Dashboard!$B$36</f>
        <v>1</v>
      </c>
      <c r="N105" s="160">
        <f t="shared" si="31"/>
        <v>8.5450710394860963E-3</v>
      </c>
      <c r="O105" s="70">
        <f t="shared" si="32"/>
        <v>1125175.5180508175</v>
      </c>
    </row>
    <row r="106" spans="1:15" outlineLevel="1" x14ac:dyDescent="0.25">
      <c r="A106" s="122">
        <v>99</v>
      </c>
      <c r="B106" s="70">
        <f>IF($D$1="SAC",-'Price x SAC x SACRE'!G105,IF('Base dinâmica'!$D$1="Price",-'Price x SAC x SACRE'!B105,IF('Base dinâmica'!$D$1="sacre",-'Price x SAC x SACRE'!L105,0)))</f>
        <v>-4100.9182743504371</v>
      </c>
      <c r="C106" s="70">
        <f>IF($D$1="SAC",-'Price x SAC x SACRE'!H105,IF('Base dinâmica'!$D$1="Price",-'Price x SAC x SACRE'!C105,IF('Base dinâmica'!$D$1="sacre",-'Price x SAC x SACRE'!M105,0)))</f>
        <v>-345.37239283921986</v>
      </c>
      <c r="D106" s="70">
        <f>IF($D$1="SAC",-'Price x SAC x SACRE'!I105,IF('Base dinâmica'!$D$1="Price",-'Price x SAC x SACRE'!D105,IF('Base dinâmica'!$D$1="sacre",-'Price x SAC x SACRE'!N105,0)))</f>
        <v>-3755.5458815112174</v>
      </c>
      <c r="E106" s="70">
        <f>IF($D$1="SAC",-'Price x SAC x SACRE'!J105,IF('Base dinâmica'!$D$1="Price",-'Price x SAC x SACRE'!E105,IF('Base dinâmica'!$D$1="sacre",-'Price x SAC x SACRE'!O105,0)))</f>
        <v>-395442.15373429115</v>
      </c>
      <c r="F106" s="70">
        <f t="shared" ref="F106:F114" si="41">+F105</f>
        <v>15430.544654933077</v>
      </c>
      <c r="G106" s="70">
        <f t="shared" ref="G106:G114" si="42">+G105</f>
        <v>-595.41454384699637</v>
      </c>
      <c r="H106" s="70">
        <f t="shared" ref="H106:H113" si="43">+H105</f>
        <v>-352.66861443245176</v>
      </c>
      <c r="I106" s="70">
        <f t="shared" si="29"/>
        <v>14482.461496653628</v>
      </c>
      <c r="J106" s="123">
        <f t="shared" si="30"/>
        <v>4.0741237836483535E-3</v>
      </c>
      <c r="K106" s="123">
        <f t="shared" ref="K106:K115" si="44">((+K105+1)*(J106+1))-1</f>
        <v>1.2272234429039575E-2</v>
      </c>
      <c r="L106" s="124">
        <f t="shared" si="28"/>
        <v>0.1075</v>
      </c>
      <c r="M106" s="125">
        <f>+Dashboard!$B$36</f>
        <v>1</v>
      </c>
      <c r="N106" s="160">
        <f t="shared" si="31"/>
        <v>8.5450710394860963E-3</v>
      </c>
      <c r="O106" s="70">
        <f t="shared" si="32"/>
        <v>1145171.7660067556</v>
      </c>
    </row>
    <row r="107" spans="1:15" outlineLevel="1" x14ac:dyDescent="0.25">
      <c r="A107" s="122">
        <v>100</v>
      </c>
      <c r="B107" s="70">
        <f>IF($D$1="SAC",-'Price x SAC x SACRE'!G106,IF('Base dinâmica'!$D$1="Price",-'Price x SAC x SACRE'!B106,IF('Base dinâmica'!$D$1="sacre",-'Price x SAC x SACRE'!L106,0)))</f>
        <v>-4100.9182743504371</v>
      </c>
      <c r="C107" s="70">
        <f>IF($D$1="SAC",-'Price x SAC x SACRE'!H106,IF('Base dinâmica'!$D$1="Price",-'Price x SAC x SACRE'!C106,IF('Base dinâmica'!$D$1="sacre",-'Price x SAC x SACRE'!M106,0)))</f>
        <v>-348.64955996019268</v>
      </c>
      <c r="D107" s="70">
        <f>IF($D$1="SAC",-'Price x SAC x SACRE'!I106,IF('Base dinâmica'!$D$1="Price",-'Price x SAC x SACRE'!D106,IF('Base dinâmica'!$D$1="sacre",-'Price x SAC x SACRE'!N106,0)))</f>
        <v>-3752.2687143902444</v>
      </c>
      <c r="E107" s="70">
        <f>IF($D$1="SAC",-'Price x SAC x SACRE'!J106,IF('Base dinâmica'!$D$1="Price",-'Price x SAC x SACRE'!E106,IF('Base dinâmica'!$D$1="sacre",-'Price x SAC x SACRE'!O106,0)))</f>
        <v>-395093.50417433097</v>
      </c>
      <c r="F107" s="70">
        <f t="shared" si="41"/>
        <v>15430.544654933077</v>
      </c>
      <c r="G107" s="70">
        <f t="shared" si="42"/>
        <v>-595.41454384699637</v>
      </c>
      <c r="H107" s="70">
        <f t="shared" si="43"/>
        <v>-352.66861443245176</v>
      </c>
      <c r="I107" s="70">
        <f t="shared" si="29"/>
        <v>14482.461496653628</v>
      </c>
      <c r="J107" s="123">
        <f t="shared" si="30"/>
        <v>4.0741237836483535E-3</v>
      </c>
      <c r="K107" s="123">
        <f t="shared" si="44"/>
        <v>1.6396356814853741E-2</v>
      </c>
      <c r="L107" s="124">
        <f t="shared" si="28"/>
        <v>0.1075</v>
      </c>
      <c r="M107" s="125">
        <f>+Dashboard!$B$36</f>
        <v>1</v>
      </c>
      <c r="N107" s="160">
        <f t="shared" si="31"/>
        <v>8.5450710394860963E-3</v>
      </c>
      <c r="O107" s="70">
        <f t="shared" si="32"/>
        <v>1165338.8833220005</v>
      </c>
    </row>
    <row r="108" spans="1:15" outlineLevel="1" x14ac:dyDescent="0.25">
      <c r="A108" s="122">
        <v>101</v>
      </c>
      <c r="B108" s="70">
        <f>IF($D$1="SAC",-'Price x SAC x SACRE'!G107,IF('Base dinâmica'!$D$1="Price",-'Price x SAC x SACRE'!B107,IF('Base dinâmica'!$D$1="sacre",-'Price x SAC x SACRE'!L107,0)))</f>
        <v>-4100.9182743504371</v>
      </c>
      <c r="C108" s="70">
        <f>IF($D$1="SAC",-'Price x SAC x SACRE'!H107,IF('Base dinâmica'!$D$1="Price",-'Price x SAC x SACRE'!C107,IF('Base dinâmica'!$D$1="sacre",-'Price x SAC x SACRE'!M107,0)))</f>
        <v>-351.95782344138837</v>
      </c>
      <c r="D108" s="70">
        <f>IF($D$1="SAC",-'Price x SAC x SACRE'!I107,IF('Base dinâmica'!$D$1="Price",-'Price x SAC x SACRE'!D107,IF('Base dinâmica'!$D$1="sacre",-'Price x SAC x SACRE'!N107,0)))</f>
        <v>-3748.9604509090486</v>
      </c>
      <c r="E108" s="70">
        <f>IF($D$1="SAC",-'Price x SAC x SACRE'!J107,IF('Base dinâmica'!$D$1="Price",-'Price x SAC x SACRE'!E107,IF('Base dinâmica'!$D$1="sacre",-'Price x SAC x SACRE'!O107,0)))</f>
        <v>-394741.54635088961</v>
      </c>
      <c r="F108" s="70">
        <f t="shared" si="41"/>
        <v>15430.544654933077</v>
      </c>
      <c r="G108" s="70">
        <f t="shared" si="42"/>
        <v>-595.41454384699637</v>
      </c>
      <c r="H108" s="70">
        <f t="shared" si="43"/>
        <v>-352.66861443245176</v>
      </c>
      <c r="I108" s="70">
        <f t="shared" si="29"/>
        <v>14482.461496653628</v>
      </c>
      <c r="J108" s="123">
        <f t="shared" si="30"/>
        <v>4.0741237836483535E-3</v>
      </c>
      <c r="K108" s="123">
        <f t="shared" si="44"/>
        <v>2.0537281385766715E-2</v>
      </c>
      <c r="L108" s="124">
        <f t="shared" si="28"/>
        <v>0.1075</v>
      </c>
      <c r="M108" s="125">
        <f>+Dashboard!$B$36</f>
        <v>1</v>
      </c>
      <c r="N108" s="160">
        <f t="shared" si="31"/>
        <v>8.5450710394860963E-3</v>
      </c>
      <c r="O108" s="70">
        <f t="shared" si="32"/>
        <v>1185678.3300873656</v>
      </c>
    </row>
    <row r="109" spans="1:15" outlineLevel="1" x14ac:dyDescent="0.25">
      <c r="A109" s="122">
        <v>102</v>
      </c>
      <c r="B109" s="70">
        <f>IF($D$1="SAC",-'Price x SAC x SACRE'!G108,IF('Base dinâmica'!$D$1="Price",-'Price x SAC x SACRE'!B108,IF('Base dinâmica'!$D$1="sacre",-'Price x SAC x SACRE'!L108,0)))</f>
        <v>-4100.918274350438</v>
      </c>
      <c r="C109" s="70">
        <f>IF($D$1="SAC",-'Price x SAC x SACRE'!H108,IF('Base dinâmica'!$D$1="Price",-'Price x SAC x SACRE'!C108,IF('Base dinâmica'!$D$1="sacre",-'Price x SAC x SACRE'!M108,0)))</f>
        <v>-355.29747834973034</v>
      </c>
      <c r="D109" s="70">
        <f>IF($D$1="SAC",-'Price x SAC x SACRE'!I108,IF('Base dinâmica'!$D$1="Price",-'Price x SAC x SACRE'!D108,IF('Base dinâmica'!$D$1="sacre",-'Price x SAC x SACRE'!N108,0)))</f>
        <v>-3745.6207960007073</v>
      </c>
      <c r="E109" s="70">
        <f>IF($D$1="SAC",-'Price x SAC x SACRE'!J108,IF('Base dinâmica'!$D$1="Price",-'Price x SAC x SACRE'!E108,IF('Base dinâmica'!$D$1="sacre",-'Price x SAC x SACRE'!O108,0)))</f>
        <v>-394386.2488725399</v>
      </c>
      <c r="F109" s="70">
        <f t="shared" si="41"/>
        <v>15430.544654933077</v>
      </c>
      <c r="G109" s="70">
        <f t="shared" si="42"/>
        <v>-595.41454384699637</v>
      </c>
      <c r="H109" s="70">
        <f t="shared" si="43"/>
        <v>-352.66861443245176</v>
      </c>
      <c r="I109" s="70">
        <f t="shared" si="29"/>
        <v>14482.461496653628</v>
      </c>
      <c r="J109" s="123">
        <f t="shared" si="30"/>
        <v>4.0741237836483535E-3</v>
      </c>
      <c r="K109" s="123">
        <f t="shared" si="44"/>
        <v>2.4695076595960375E-2</v>
      </c>
      <c r="L109" s="124">
        <f t="shared" si="28"/>
        <v>0.1075</v>
      </c>
      <c r="M109" s="125">
        <f>+Dashboard!$B$36</f>
        <v>1</v>
      </c>
      <c r="N109" s="160">
        <f t="shared" si="31"/>
        <v>8.5450710394860963E-3</v>
      </c>
      <c r="O109" s="70">
        <f t="shared" si="32"/>
        <v>1206191.5788702446</v>
      </c>
    </row>
    <row r="110" spans="1:15" outlineLevel="1" x14ac:dyDescent="0.25">
      <c r="A110" s="122">
        <v>103</v>
      </c>
      <c r="B110" s="70">
        <f>IF($D$1="SAC",-'Price x SAC x SACRE'!G109,IF('Base dinâmica'!$D$1="Price",-'Price x SAC x SACRE'!B109,IF('Base dinâmica'!$D$1="sacre",-'Price x SAC x SACRE'!L109,0)))</f>
        <v>-4100.918274350438</v>
      </c>
      <c r="C110" s="70">
        <f>IF($D$1="SAC",-'Price x SAC x SACRE'!H109,IF('Base dinâmica'!$D$1="Price",-'Price x SAC x SACRE'!C109,IF('Base dinâmica'!$D$1="sacre",-'Price x SAC x SACRE'!M109,0)))</f>
        <v>-358.66882255197049</v>
      </c>
      <c r="D110" s="70">
        <f>IF($D$1="SAC",-'Price x SAC x SACRE'!I109,IF('Base dinâmica'!$D$1="Price",-'Price x SAC x SACRE'!D109,IF('Base dinâmica'!$D$1="sacre",-'Price x SAC x SACRE'!N109,0)))</f>
        <v>-3742.2494517984674</v>
      </c>
      <c r="E110" s="70">
        <f>IF($D$1="SAC",-'Price x SAC x SACRE'!J109,IF('Base dinâmica'!$D$1="Price",-'Price x SAC x SACRE'!E109,IF('Base dinâmica'!$D$1="sacre",-'Price x SAC x SACRE'!O109,0)))</f>
        <v>-394027.58004998794</v>
      </c>
      <c r="F110" s="70">
        <f t="shared" si="41"/>
        <v>15430.544654933077</v>
      </c>
      <c r="G110" s="70">
        <f t="shared" si="42"/>
        <v>-595.41454384699637</v>
      </c>
      <c r="H110" s="70">
        <f t="shared" si="43"/>
        <v>-352.66861443245176</v>
      </c>
      <c r="I110" s="70">
        <f t="shared" si="29"/>
        <v>14482.461496653628</v>
      </c>
      <c r="J110" s="123">
        <f t="shared" si="30"/>
        <v>4.0741237836483535E-3</v>
      </c>
      <c r="K110" s="123">
        <f t="shared" si="44"/>
        <v>2.8869811178507288E-2</v>
      </c>
      <c r="L110" s="124">
        <f t="shared" si="28"/>
        <v>0.1075</v>
      </c>
      <c r="M110" s="125">
        <f>+Dashboard!$B$36</f>
        <v>1</v>
      </c>
      <c r="N110" s="160">
        <f t="shared" si="31"/>
        <v>8.5450710394860963E-3</v>
      </c>
      <c r="O110" s="70">
        <f t="shared" si="32"/>
        <v>1226880.114821224</v>
      </c>
    </row>
    <row r="111" spans="1:15" outlineLevel="1" x14ac:dyDescent="0.25">
      <c r="A111" s="122">
        <v>104</v>
      </c>
      <c r="B111" s="70">
        <f>IF($D$1="SAC",-'Price x SAC x SACRE'!G110,IF('Base dinâmica'!$D$1="Price",-'Price x SAC x SACRE'!B110,IF('Base dinâmica'!$D$1="sacre",-'Price x SAC x SACRE'!L110,0)))</f>
        <v>-4100.918274350438</v>
      </c>
      <c r="C111" s="70">
        <f>IF($D$1="SAC",-'Price x SAC x SACRE'!H110,IF('Base dinâmica'!$D$1="Price",-'Price x SAC x SACRE'!C110,IF('Base dinâmica'!$D$1="sacre",-'Price x SAC x SACRE'!M110,0)))</f>
        <v>-362.07215674125683</v>
      </c>
      <c r="D111" s="70">
        <f>IF($D$1="SAC",-'Price x SAC x SACRE'!I110,IF('Base dinâmica'!$D$1="Price",-'Price x SAC x SACRE'!D110,IF('Base dinâmica'!$D$1="sacre",-'Price x SAC x SACRE'!N110,0)))</f>
        <v>-3738.846117609181</v>
      </c>
      <c r="E111" s="70">
        <f>IF($D$1="SAC",-'Price x SAC x SACRE'!J110,IF('Base dinâmica'!$D$1="Price",-'Price x SAC x SACRE'!E110,IF('Base dinâmica'!$D$1="sacre",-'Price x SAC x SACRE'!O110,0)))</f>
        <v>-393665.50789324666</v>
      </c>
      <c r="F111" s="70">
        <f t="shared" si="41"/>
        <v>15430.544654933077</v>
      </c>
      <c r="G111" s="70">
        <f t="shared" si="42"/>
        <v>-595.41454384699637</v>
      </c>
      <c r="H111" s="70">
        <f t="shared" si="43"/>
        <v>-352.66861443245176</v>
      </c>
      <c r="I111" s="70">
        <f t="shared" si="29"/>
        <v>14482.461496653628</v>
      </c>
      <c r="J111" s="123">
        <f t="shared" si="30"/>
        <v>4.0741237836483535E-3</v>
      </c>
      <c r="K111" s="123">
        <f t="shared" si="44"/>
        <v>3.3061554146507355E-2</v>
      </c>
      <c r="L111" s="124">
        <f t="shared" si="28"/>
        <v>0.1075</v>
      </c>
      <c r="M111" s="125">
        <f>+Dashboard!$B$36</f>
        <v>1</v>
      </c>
      <c r="N111" s="160">
        <f t="shared" si="31"/>
        <v>8.5450710394860963E-3</v>
      </c>
      <c r="O111" s="70">
        <f t="shared" si="32"/>
        <v>1247745.4357816074</v>
      </c>
    </row>
    <row r="112" spans="1:15" outlineLevel="1" x14ac:dyDescent="0.25">
      <c r="A112" s="122">
        <v>105</v>
      </c>
      <c r="B112" s="70">
        <f>IF($D$1="SAC",-'Price x SAC x SACRE'!G111,IF('Base dinâmica'!$D$1="Price",-'Price x SAC x SACRE'!B111,IF('Base dinâmica'!$D$1="sacre",-'Price x SAC x SACRE'!L111,0)))</f>
        <v>-4100.918274350438</v>
      </c>
      <c r="C112" s="70">
        <f>IF($D$1="SAC",-'Price x SAC x SACRE'!H111,IF('Base dinâmica'!$D$1="Price",-'Price x SAC x SACRE'!C111,IF('Base dinâmica'!$D$1="sacre",-'Price x SAC x SACRE'!M111,0)))</f>
        <v>-365.50778446395248</v>
      </c>
      <c r="D112" s="70">
        <f>IF($D$1="SAC",-'Price x SAC x SACRE'!I111,IF('Base dinâmica'!$D$1="Price",-'Price x SAC x SACRE'!D111,IF('Base dinâmica'!$D$1="sacre",-'Price x SAC x SACRE'!N111,0)))</f>
        <v>-3735.4104898864853</v>
      </c>
      <c r="E112" s="70">
        <f>IF($D$1="SAC",-'Price x SAC x SACRE'!J111,IF('Base dinâmica'!$D$1="Price",-'Price x SAC x SACRE'!E111,IF('Base dinâmica'!$D$1="sacre",-'Price x SAC x SACRE'!O111,0)))</f>
        <v>-393300.00010878273</v>
      </c>
      <c r="F112" s="70">
        <f t="shared" si="41"/>
        <v>15430.544654933077</v>
      </c>
      <c r="G112" s="70">
        <f t="shared" si="42"/>
        <v>-595.41454384699637</v>
      </c>
      <c r="H112" s="70">
        <f t="shared" si="43"/>
        <v>-352.66861443245176</v>
      </c>
      <c r="I112" s="70">
        <f t="shared" si="29"/>
        <v>14482.461496653628</v>
      </c>
      <c r="J112" s="123">
        <f t="shared" si="30"/>
        <v>4.0741237836483535E-3</v>
      </c>
      <c r="K112" s="123">
        <f t="shared" si="44"/>
        <v>3.7270374794228456E-2</v>
      </c>
      <c r="L112" s="124">
        <f t="shared" si="28"/>
        <v>0.1075</v>
      </c>
      <c r="M112" s="125">
        <f>+Dashboard!$B$36</f>
        <v>1</v>
      </c>
      <c r="N112" s="160">
        <f t="shared" si="31"/>
        <v>8.5450710394860963E-3</v>
      </c>
      <c r="O112" s="70">
        <f t="shared" si="32"/>
        <v>1268789.052391859</v>
      </c>
    </row>
    <row r="113" spans="1:15" outlineLevel="1" x14ac:dyDescent="0.25">
      <c r="A113" s="122">
        <v>106</v>
      </c>
      <c r="B113" s="70">
        <f>IF($D$1="SAC",-'Price x SAC x SACRE'!G112,IF('Base dinâmica'!$D$1="Price",-'Price x SAC x SACRE'!B112,IF('Base dinâmica'!$D$1="sacre",-'Price x SAC x SACRE'!L112,0)))</f>
        <v>-4100.918274350438</v>
      </c>
      <c r="C113" s="70">
        <f>IF($D$1="SAC",-'Price x SAC x SACRE'!H112,IF('Base dinâmica'!$D$1="Price",-'Price x SAC x SACRE'!C112,IF('Base dinâmica'!$D$1="sacre",-'Price x SAC x SACRE'!M112,0)))</f>
        <v>-368.97601214670908</v>
      </c>
      <c r="D113" s="70">
        <f>IF($D$1="SAC",-'Price x SAC x SACRE'!I112,IF('Base dinâmica'!$D$1="Price",-'Price x SAC x SACRE'!D112,IF('Base dinâmica'!$D$1="sacre",-'Price x SAC x SACRE'!N112,0)))</f>
        <v>-3731.9422622037287</v>
      </c>
      <c r="E113" s="70">
        <f>IF($D$1="SAC",-'Price x SAC x SACRE'!J112,IF('Base dinâmica'!$D$1="Price",-'Price x SAC x SACRE'!E112,IF('Base dinâmica'!$D$1="sacre",-'Price x SAC x SACRE'!O112,0)))</f>
        <v>-392931.02409663604</v>
      </c>
      <c r="F113" s="70">
        <f t="shared" si="41"/>
        <v>15430.544654933077</v>
      </c>
      <c r="G113" s="70">
        <f t="shared" si="42"/>
        <v>-595.41454384699637</v>
      </c>
      <c r="H113" s="70">
        <f t="shared" si="43"/>
        <v>-352.66861443245176</v>
      </c>
      <c r="I113" s="70">
        <f t="shared" si="29"/>
        <v>14482.461496653628</v>
      </c>
      <c r="J113" s="123">
        <f t="shared" si="30"/>
        <v>4.0741237836483535E-3</v>
      </c>
      <c r="K113" s="123">
        <f t="shared" si="44"/>
        <v>4.1496342698251532E-2</v>
      </c>
      <c r="L113" s="124">
        <f t="shared" si="28"/>
        <v>0.1075</v>
      </c>
      <c r="M113" s="125">
        <f>+Dashboard!$B$36</f>
        <v>1</v>
      </c>
      <c r="N113" s="160">
        <f t="shared" si="31"/>
        <v>8.5450710394860963E-3</v>
      </c>
      <c r="O113" s="70">
        <f t="shared" si="32"/>
        <v>1290012.488200973</v>
      </c>
    </row>
    <row r="114" spans="1:15" outlineLevel="1" x14ac:dyDescent="0.25">
      <c r="A114" s="122">
        <v>107</v>
      </c>
      <c r="B114" s="70">
        <f>IF($D$1="SAC",-'Price x SAC x SACRE'!G113,IF('Base dinâmica'!$D$1="Price",-'Price x SAC x SACRE'!B113,IF('Base dinâmica'!$D$1="sacre",-'Price x SAC x SACRE'!L113,0)))</f>
        <v>-4100.918274350438</v>
      </c>
      <c r="C114" s="70">
        <f>IF($D$1="SAC",-'Price x SAC x SACRE'!H113,IF('Base dinâmica'!$D$1="Price",-'Price x SAC x SACRE'!C113,IF('Base dinâmica'!$D$1="sacre",-'Price x SAC x SACRE'!M113,0)))</f>
        <v>-372.4771491237974</v>
      </c>
      <c r="D114" s="70">
        <f>IF($D$1="SAC",-'Price x SAC x SACRE'!I113,IF('Base dinâmica'!$D$1="Price",-'Price x SAC x SACRE'!D113,IF('Base dinâmica'!$D$1="sacre",-'Price x SAC x SACRE'!N113,0)))</f>
        <v>-3728.4411252266405</v>
      </c>
      <c r="E114" s="70">
        <f>IF($D$1="SAC",-'Price x SAC x SACRE'!J113,IF('Base dinâmica'!$D$1="Price",-'Price x SAC x SACRE'!E113,IF('Base dinâmica'!$D$1="sacre",-'Price x SAC x SACRE'!O113,0)))</f>
        <v>-392558.54694751225</v>
      </c>
      <c r="F114" s="70">
        <f t="shared" si="41"/>
        <v>15430.544654933077</v>
      </c>
      <c r="G114" s="70">
        <f t="shared" si="42"/>
        <v>-595.41454384699637</v>
      </c>
      <c r="H114" s="70">
        <v>0</v>
      </c>
      <c r="I114" s="70">
        <f t="shared" si="29"/>
        <v>14835.13011108608</v>
      </c>
      <c r="J114" s="123">
        <f t="shared" si="30"/>
        <v>4.0741237836483535E-3</v>
      </c>
      <c r="K114" s="123">
        <f t="shared" si="44"/>
        <v>4.573952771862122E-2</v>
      </c>
      <c r="L114" s="124">
        <f t="shared" si="28"/>
        <v>0.1075</v>
      </c>
      <c r="M114" s="125">
        <f>+Dashboard!$B$36</f>
        <v>1</v>
      </c>
      <c r="N114" s="160">
        <f t="shared" si="31"/>
        <v>8.5450710394860963E-3</v>
      </c>
      <c r="O114" s="70">
        <f t="shared" si="32"/>
        <v>1311769.9483912103</v>
      </c>
    </row>
    <row r="115" spans="1:15" s="53" customFormat="1" x14ac:dyDescent="0.25">
      <c r="A115" s="68">
        <v>108</v>
      </c>
      <c r="B115" s="64">
        <f>IF($D$1="SAC",-'Price x SAC x SACRE'!G114,IF('Base dinâmica'!$D$1="Price",-'Price x SAC x SACRE'!B114,IF('Base dinâmica'!$D$1="sacre",-'Price x SAC x SACRE'!L114,0)))</f>
        <v>-4100.918274350438</v>
      </c>
      <c r="C115" s="64">
        <f>IF($D$1="SAC",-'Price x SAC x SACRE'!H114,IF('Base dinâmica'!$D$1="Price",-'Price x SAC x SACRE'!C114,IF('Base dinâmica'!$D$1="sacre",-'Price x SAC x SACRE'!M114,0)))</f>
        <v>-376.01150766469686</v>
      </c>
      <c r="D115" s="64">
        <f>IF($D$1="SAC",-'Price x SAC x SACRE'!I114,IF('Base dinâmica'!$D$1="Price",-'Price x SAC x SACRE'!D114,IF('Base dinâmica'!$D$1="sacre",-'Price x SAC x SACRE'!N114,0)))</f>
        <v>-3724.9067666857413</v>
      </c>
      <c r="E115" s="64">
        <f>IF($D$1="SAC",-'Price x SAC x SACRE'!J114,IF('Base dinâmica'!$D$1="Price",-'Price x SAC x SACRE'!E114,IF('Base dinâmica'!$D$1="sacre",-'Price x SAC x SACRE'!O114,0)))</f>
        <v>-392182.53543984756</v>
      </c>
      <c r="F115" s="64">
        <f>+F114</f>
        <v>15430.544654933077</v>
      </c>
      <c r="G115" s="64">
        <f>+G114</f>
        <v>-595.41454384699637</v>
      </c>
      <c r="H115" s="64">
        <v>0</v>
      </c>
      <c r="I115" s="64">
        <f t="shared" si="29"/>
        <v>14835.13011108608</v>
      </c>
      <c r="J115" s="119">
        <f t="shared" si="30"/>
        <v>4.0741237836483535E-3</v>
      </c>
      <c r="K115" s="119">
        <f t="shared" si="44"/>
        <v>5.0000000000000933E-2</v>
      </c>
      <c r="L115" s="120">
        <f t="shared" si="28"/>
        <v>0.1075</v>
      </c>
      <c r="M115" s="121">
        <f>+Dashboard!$B$36</f>
        <v>1</v>
      </c>
      <c r="N115" s="160">
        <f t="shared" si="31"/>
        <v>8.5450710394860963E-3</v>
      </c>
      <c r="O115" s="64">
        <f t="shared" si="32"/>
        <v>1333713.327624412</v>
      </c>
    </row>
    <row r="116" spans="1:15" outlineLevel="1" x14ac:dyDescent="0.25">
      <c r="A116" s="122">
        <v>109</v>
      </c>
      <c r="B116" s="70">
        <f>IF($D$1="SAC",-'Price x SAC x SACRE'!G115,IF('Base dinâmica'!$D$1="Price",-'Price x SAC x SACRE'!B115,IF('Base dinâmica'!$D$1="sacre",-'Price x SAC x SACRE'!L115,0)))</f>
        <v>-4100.918274350438</v>
      </c>
      <c r="C116" s="70">
        <f>IF($D$1="SAC",-'Price x SAC x SACRE'!H115,IF('Base dinâmica'!$D$1="Price",-'Price x SAC x SACRE'!C115,IF('Base dinâmica'!$D$1="sacre",-'Price x SAC x SACRE'!M115,0)))</f>
        <v>-379.5794030019477</v>
      </c>
      <c r="D116" s="70">
        <f>IF($D$1="SAC",-'Price x SAC x SACRE'!I115,IF('Base dinâmica'!$D$1="Price",-'Price x SAC x SACRE'!D115,IF('Base dinâmica'!$D$1="sacre",-'Price x SAC x SACRE'!N115,0)))</f>
        <v>-3721.3388713484906</v>
      </c>
      <c r="E116" s="70">
        <f>IF($D$1="SAC",-'Price x SAC x SACRE'!J115,IF('Base dinâmica'!$D$1="Price",-'Price x SAC x SACRE'!E115,IF('Base dinâmica'!$D$1="sacre",-'Price x SAC x SACRE'!O115,0)))</f>
        <v>-391802.95603684563</v>
      </c>
      <c r="F116" s="70">
        <f>+F115*(1+K115)</f>
        <v>16202.071887679745</v>
      </c>
      <c r="G116" s="70">
        <f>+G115*(1+K115)</f>
        <v>-625.18527103934673</v>
      </c>
      <c r="H116" s="70">
        <f>+H113*(1+K115)</f>
        <v>-370.30204515407468</v>
      </c>
      <c r="I116" s="70">
        <f t="shared" si="29"/>
        <v>15206.584571486324</v>
      </c>
      <c r="J116" s="123">
        <f t="shared" si="30"/>
        <v>4.0741237836483535E-3</v>
      </c>
      <c r="K116" s="123">
        <f>+J116</f>
        <v>4.0741237836483535E-3</v>
      </c>
      <c r="L116" s="124">
        <f t="shared" si="28"/>
        <v>0.1075</v>
      </c>
      <c r="M116" s="125">
        <f>+Dashboard!$B$36</f>
        <v>1</v>
      </c>
      <c r="N116" s="160">
        <f t="shared" si="31"/>
        <v>8.5450710394860963E-3</v>
      </c>
      <c r="O116" s="70">
        <f t="shared" si="32"/>
        <v>1356215.6690524078</v>
      </c>
    </row>
    <row r="117" spans="1:15" outlineLevel="1" x14ac:dyDescent="0.25">
      <c r="A117" s="122">
        <v>110</v>
      </c>
      <c r="B117" s="70">
        <f>IF($D$1="SAC",-'Price x SAC x SACRE'!G116,IF('Base dinâmica'!$D$1="Price",-'Price x SAC x SACRE'!B116,IF('Base dinâmica'!$D$1="sacre",-'Price x SAC x SACRE'!L116,0)))</f>
        <v>-4100.9182743504389</v>
      </c>
      <c r="C117" s="70">
        <f>IF($D$1="SAC",-'Price x SAC x SACRE'!H116,IF('Base dinâmica'!$D$1="Price",-'Price x SAC x SACRE'!C116,IF('Base dinâmica'!$D$1="sacre",-'Price x SAC x SACRE'!M116,0)))</f>
        <v>-383.18115335926586</v>
      </c>
      <c r="D117" s="70">
        <f>IF($D$1="SAC",-'Price x SAC x SACRE'!I116,IF('Base dinâmica'!$D$1="Price",-'Price x SAC x SACRE'!D116,IF('Base dinâmica'!$D$1="sacre",-'Price x SAC x SACRE'!N116,0)))</f>
        <v>-3717.7371209911726</v>
      </c>
      <c r="E117" s="70">
        <f>IF($D$1="SAC",-'Price x SAC x SACRE'!J116,IF('Base dinâmica'!$D$1="Price",-'Price x SAC x SACRE'!E116,IF('Base dinâmica'!$D$1="sacre",-'Price x SAC x SACRE'!O116,0)))</f>
        <v>-391419.77488348639</v>
      </c>
      <c r="F117" s="70">
        <f>+F116</f>
        <v>16202.071887679745</v>
      </c>
      <c r="G117" s="70">
        <f>+G116</f>
        <v>-625.18527103934673</v>
      </c>
      <c r="H117" s="70">
        <f>+H116</f>
        <v>-370.30204515407468</v>
      </c>
      <c r="I117" s="70">
        <f t="shared" si="29"/>
        <v>15206.584571486324</v>
      </c>
      <c r="J117" s="123">
        <f t="shared" si="30"/>
        <v>4.0741237836483535E-3</v>
      </c>
      <c r="K117" s="123">
        <f>((+K116+1)*(J117+1))-1</f>
        <v>8.1648460519012644E-3</v>
      </c>
      <c r="L117" s="124">
        <f t="shared" si="28"/>
        <v>0.1075</v>
      </c>
      <c r="M117" s="125">
        <f>+Dashboard!$B$36</f>
        <v>1</v>
      </c>
      <c r="N117" s="160">
        <f t="shared" si="31"/>
        <v>8.5450710394860963E-3</v>
      </c>
      <c r="O117" s="70">
        <f t="shared" si="32"/>
        <v>1378910.2945864608</v>
      </c>
    </row>
    <row r="118" spans="1:15" outlineLevel="1" x14ac:dyDescent="0.25">
      <c r="A118" s="122">
        <v>111</v>
      </c>
      <c r="B118" s="70">
        <f>IF($D$1="SAC",-'Price x SAC x SACRE'!G117,IF('Base dinâmica'!$D$1="Price",-'Price x SAC x SACRE'!B117,IF('Base dinâmica'!$D$1="sacre",-'Price x SAC x SACRE'!L117,0)))</f>
        <v>-4100.9182743504389</v>
      </c>
      <c r="C118" s="70">
        <f>IF($D$1="SAC",-'Price x SAC x SACRE'!H117,IF('Base dinâmica'!$D$1="Price",-'Price x SAC x SACRE'!C117,IF('Base dinâmica'!$D$1="sacre",-'Price x SAC x SACRE'!M117,0)))</f>
        <v>-386.81707997992658</v>
      </c>
      <c r="D118" s="70">
        <f>IF($D$1="SAC",-'Price x SAC x SACRE'!I117,IF('Base dinâmica'!$D$1="Price",-'Price x SAC x SACRE'!D117,IF('Base dinâmica'!$D$1="sacre",-'Price x SAC x SACRE'!N117,0)))</f>
        <v>-3714.1011943705121</v>
      </c>
      <c r="E118" s="70">
        <f>IF($D$1="SAC",-'Price x SAC x SACRE'!J117,IF('Base dinâmica'!$D$1="Price",-'Price x SAC x SACRE'!E117,IF('Base dinâmica'!$D$1="sacre",-'Price x SAC x SACRE'!O117,0)))</f>
        <v>-391032.95780350646</v>
      </c>
      <c r="F118" s="70">
        <f t="shared" ref="F118:F126" si="45">+F117</f>
        <v>16202.071887679745</v>
      </c>
      <c r="G118" s="70">
        <f t="shared" ref="G118:G126" si="46">+G117</f>
        <v>-625.18527103934673</v>
      </c>
      <c r="H118" s="70">
        <f t="shared" ref="H118:H125" si="47">+H117</f>
        <v>-370.30204515407468</v>
      </c>
      <c r="I118" s="70">
        <f t="shared" si="29"/>
        <v>15206.584571486324</v>
      </c>
      <c r="J118" s="123">
        <f t="shared" si="30"/>
        <v>4.0741237836483535E-3</v>
      </c>
      <c r="K118" s="123">
        <f t="shared" ref="K118:K127" si="48">((+K117+1)*(J118+1))-1</f>
        <v>1.2272234429039575E-2</v>
      </c>
      <c r="L118" s="124">
        <f t="shared" si="28"/>
        <v>0.1075</v>
      </c>
      <c r="M118" s="125">
        <f>+Dashboard!$B$36</f>
        <v>1</v>
      </c>
      <c r="N118" s="160">
        <f t="shared" si="31"/>
        <v>8.5450710394860963E-3</v>
      </c>
      <c r="O118" s="70">
        <f t="shared" si="32"/>
        <v>1401798.8473079167</v>
      </c>
    </row>
    <row r="119" spans="1:15" outlineLevel="1" x14ac:dyDescent="0.25">
      <c r="A119" s="122">
        <v>112</v>
      </c>
      <c r="B119" s="70">
        <f>IF($D$1="SAC",-'Price x SAC x SACRE'!G118,IF('Base dinâmica'!$D$1="Price",-'Price x SAC x SACRE'!B118,IF('Base dinâmica'!$D$1="sacre",-'Price x SAC x SACRE'!L118,0)))</f>
        <v>-4100.9182743504389</v>
      </c>
      <c r="C119" s="70">
        <f>IF($D$1="SAC",-'Price x SAC x SACRE'!H118,IF('Base dinâmica'!$D$1="Price",-'Price x SAC x SACRE'!C118,IF('Base dinâmica'!$D$1="sacre",-'Price x SAC x SACRE'!M118,0)))</f>
        <v>-390.48750715541615</v>
      </c>
      <c r="D119" s="70">
        <f>IF($D$1="SAC",-'Price x SAC x SACRE'!I118,IF('Base dinâmica'!$D$1="Price",-'Price x SAC x SACRE'!D118,IF('Base dinâmica'!$D$1="sacre",-'Price x SAC x SACRE'!N118,0)))</f>
        <v>-3710.4307671950223</v>
      </c>
      <c r="E119" s="70">
        <f>IF($D$1="SAC",-'Price x SAC x SACRE'!J118,IF('Base dinâmica'!$D$1="Price",-'Price x SAC x SACRE'!E118,IF('Base dinâmica'!$D$1="sacre",-'Price x SAC x SACRE'!O118,0)))</f>
        <v>-390642.47029635106</v>
      </c>
      <c r="F119" s="70">
        <f t="shared" si="45"/>
        <v>16202.071887679745</v>
      </c>
      <c r="G119" s="70">
        <f t="shared" si="46"/>
        <v>-625.18527103934673</v>
      </c>
      <c r="H119" s="70">
        <f t="shared" si="47"/>
        <v>-370.30204515407468</v>
      </c>
      <c r="I119" s="70">
        <f t="shared" si="29"/>
        <v>15206.584571486324</v>
      </c>
      <c r="J119" s="123">
        <f t="shared" si="30"/>
        <v>4.0741237836483535E-3</v>
      </c>
      <c r="K119" s="123">
        <f t="shared" si="48"/>
        <v>1.6396356814853741E-2</v>
      </c>
      <c r="L119" s="124">
        <f t="shared" si="28"/>
        <v>0.1075</v>
      </c>
      <c r="M119" s="125">
        <f>+Dashboard!$B$36</f>
        <v>1</v>
      </c>
      <c r="N119" s="160">
        <f t="shared" si="31"/>
        <v>8.5450710394860963E-3</v>
      </c>
      <c r="O119" s="70">
        <f t="shared" si="32"/>
        <v>1424882.9843383685</v>
      </c>
    </row>
    <row r="120" spans="1:15" outlineLevel="1" x14ac:dyDescent="0.25">
      <c r="A120" s="122">
        <v>113</v>
      </c>
      <c r="B120" s="70">
        <f>IF($D$1="SAC",-'Price x SAC x SACRE'!G119,IF('Base dinâmica'!$D$1="Price",-'Price x SAC x SACRE'!B119,IF('Base dinâmica'!$D$1="sacre",-'Price x SAC x SACRE'!L119,0)))</f>
        <v>-4100.9182743504389</v>
      </c>
      <c r="C120" s="70">
        <f>IF($D$1="SAC",-'Price x SAC x SACRE'!H119,IF('Base dinâmica'!$D$1="Price",-'Price x SAC x SACRE'!C119,IF('Base dinâmica'!$D$1="sacre",-'Price x SAC x SACRE'!M119,0)))</f>
        <v>-394.19276225435539</v>
      </c>
      <c r="D120" s="70">
        <f>IF($D$1="SAC",-'Price x SAC x SACRE'!I119,IF('Base dinâmica'!$D$1="Price",-'Price x SAC x SACRE'!D119,IF('Base dinâmica'!$D$1="sacre",-'Price x SAC x SACRE'!N119,0)))</f>
        <v>-3706.7255120960831</v>
      </c>
      <c r="E120" s="70">
        <f>IF($D$1="SAC",-'Price x SAC x SACRE'!J119,IF('Base dinâmica'!$D$1="Price",-'Price x SAC x SACRE'!E119,IF('Base dinâmica'!$D$1="sacre",-'Price x SAC x SACRE'!O119,0)))</f>
        <v>-390248.27753409673</v>
      </c>
      <c r="F120" s="70">
        <f t="shared" si="45"/>
        <v>16202.071887679745</v>
      </c>
      <c r="G120" s="70">
        <f t="shared" si="46"/>
        <v>-625.18527103934673</v>
      </c>
      <c r="H120" s="70">
        <f t="shared" si="47"/>
        <v>-370.30204515407468</v>
      </c>
      <c r="I120" s="70">
        <f t="shared" si="29"/>
        <v>15206.584571486324</v>
      </c>
      <c r="J120" s="123">
        <f t="shared" si="30"/>
        <v>4.0741237836483535E-3</v>
      </c>
      <c r="K120" s="123">
        <f t="shared" si="48"/>
        <v>2.0537281385766715E-2</v>
      </c>
      <c r="L120" s="124">
        <f t="shared" si="28"/>
        <v>0.1075</v>
      </c>
      <c r="M120" s="125">
        <f>+Dashboard!$B$36</f>
        <v>1</v>
      </c>
      <c r="N120" s="160">
        <f t="shared" si="31"/>
        <v>8.5450710394860963E-3</v>
      </c>
      <c r="O120" s="70">
        <f t="shared" si="32"/>
        <v>1448164.3769596308</v>
      </c>
    </row>
    <row r="121" spans="1:15" outlineLevel="1" x14ac:dyDescent="0.25">
      <c r="A121" s="122">
        <v>114</v>
      </c>
      <c r="B121" s="70">
        <f>IF($D$1="SAC",-'Price x SAC x SACRE'!G120,IF('Base dinâmica'!$D$1="Price",-'Price x SAC x SACRE'!B120,IF('Base dinâmica'!$D$1="sacre",-'Price x SAC x SACRE'!L120,0)))</f>
        <v>-4100.9182743504389</v>
      </c>
      <c r="C121" s="70">
        <f>IF($D$1="SAC",-'Price x SAC x SACRE'!H120,IF('Base dinâmica'!$D$1="Price",-'Price x SAC x SACRE'!C120,IF('Base dinâmica'!$D$1="sacre",-'Price x SAC x SACRE'!M120,0)))</f>
        <v>-397.93317575169823</v>
      </c>
      <c r="D121" s="70">
        <f>IF($D$1="SAC",-'Price x SAC x SACRE'!I120,IF('Base dinâmica'!$D$1="Price",-'Price x SAC x SACRE'!D120,IF('Base dinâmica'!$D$1="sacre",-'Price x SAC x SACRE'!N120,0)))</f>
        <v>-3702.9850985987405</v>
      </c>
      <c r="E121" s="70">
        <f>IF($D$1="SAC",-'Price x SAC x SACRE'!J120,IF('Base dinâmica'!$D$1="Price",-'Price x SAC x SACRE'!E120,IF('Base dinâmica'!$D$1="sacre",-'Price x SAC x SACRE'!O120,0)))</f>
        <v>-389850.34435834503</v>
      </c>
      <c r="F121" s="70">
        <f t="shared" si="45"/>
        <v>16202.071887679745</v>
      </c>
      <c r="G121" s="70">
        <f t="shared" si="46"/>
        <v>-625.18527103934673</v>
      </c>
      <c r="H121" s="70">
        <f t="shared" si="47"/>
        <v>-370.30204515407468</v>
      </c>
      <c r="I121" s="70">
        <f t="shared" si="29"/>
        <v>15206.584571486324</v>
      </c>
      <c r="J121" s="123">
        <f t="shared" si="30"/>
        <v>4.0741237836483535E-3</v>
      </c>
      <c r="K121" s="123">
        <f t="shared" si="48"/>
        <v>2.4695076595960375E-2</v>
      </c>
      <c r="L121" s="124">
        <f t="shared" si="28"/>
        <v>0.1075</v>
      </c>
      <c r="M121" s="125">
        <f>+Dashboard!$B$36</f>
        <v>1</v>
      </c>
      <c r="N121" s="160">
        <f t="shared" si="31"/>
        <v>8.5450710394860963E-3</v>
      </c>
      <c r="O121" s="70">
        <f t="shared" si="32"/>
        <v>1471644.7107347399</v>
      </c>
    </row>
    <row r="122" spans="1:15" outlineLevel="1" x14ac:dyDescent="0.25">
      <c r="A122" s="122">
        <v>115</v>
      </c>
      <c r="B122" s="70">
        <f>IF($D$1="SAC",-'Price x SAC x SACRE'!G121,IF('Base dinâmica'!$D$1="Price",-'Price x SAC x SACRE'!B121,IF('Base dinâmica'!$D$1="sacre",-'Price x SAC x SACRE'!L121,0)))</f>
        <v>-4100.9182743504389</v>
      </c>
      <c r="C122" s="70">
        <f>IF($D$1="SAC",-'Price x SAC x SACRE'!H121,IF('Base dinâmica'!$D$1="Price",-'Price x SAC x SACRE'!C121,IF('Base dinâmica'!$D$1="sacre",-'Price x SAC x SACRE'!M121,0)))</f>
        <v>-401.70908125820716</v>
      </c>
      <c r="D122" s="70">
        <f>IF($D$1="SAC",-'Price x SAC x SACRE'!I121,IF('Base dinâmica'!$D$1="Price",-'Price x SAC x SACRE'!D121,IF('Base dinâmica'!$D$1="sacre",-'Price x SAC x SACRE'!N121,0)))</f>
        <v>-3699.2091930922315</v>
      </c>
      <c r="E122" s="70">
        <f>IF($D$1="SAC",-'Price x SAC x SACRE'!J121,IF('Base dinâmica'!$D$1="Price",-'Price x SAC x SACRE'!E121,IF('Base dinâmica'!$D$1="sacre",-'Price x SAC x SACRE'!O121,0)))</f>
        <v>-389448.63527708681</v>
      </c>
      <c r="F122" s="70">
        <f t="shared" si="45"/>
        <v>16202.071887679745</v>
      </c>
      <c r="G122" s="70">
        <f t="shared" si="46"/>
        <v>-625.18527103934673</v>
      </c>
      <c r="H122" s="70">
        <f t="shared" si="47"/>
        <v>-370.30204515407468</v>
      </c>
      <c r="I122" s="70">
        <f t="shared" si="29"/>
        <v>15206.584571486324</v>
      </c>
      <c r="J122" s="123">
        <f t="shared" si="30"/>
        <v>4.0741237836483535E-3</v>
      </c>
      <c r="K122" s="123">
        <f t="shared" si="48"/>
        <v>2.8869811178507288E-2</v>
      </c>
      <c r="L122" s="124">
        <f t="shared" si="28"/>
        <v>0.1075</v>
      </c>
      <c r="M122" s="125">
        <f>+Dashboard!$B$36</f>
        <v>1</v>
      </c>
      <c r="N122" s="160">
        <f t="shared" si="31"/>
        <v>8.5450710394860963E-3</v>
      </c>
      <c r="O122" s="70">
        <f t="shared" si="32"/>
        <v>1495325.6856299881</v>
      </c>
    </row>
    <row r="123" spans="1:15" outlineLevel="1" x14ac:dyDescent="0.25">
      <c r="A123" s="122">
        <v>116</v>
      </c>
      <c r="B123" s="70">
        <f>IF($D$1="SAC",-'Price x SAC x SACRE'!G122,IF('Base dinâmica'!$D$1="Price",-'Price x SAC x SACRE'!B122,IF('Base dinâmica'!$D$1="sacre",-'Price x SAC x SACRE'!L122,0)))</f>
        <v>-4100.9182743504389</v>
      </c>
      <c r="C123" s="70">
        <f>IF($D$1="SAC",-'Price x SAC x SACRE'!H122,IF('Base dinâmica'!$D$1="Price",-'Price x SAC x SACRE'!C122,IF('Base dinâmica'!$D$1="sacre",-'Price x SAC x SACRE'!M122,0)))</f>
        <v>-405.520815550208</v>
      </c>
      <c r="D123" s="70">
        <f>IF($D$1="SAC",-'Price x SAC x SACRE'!I122,IF('Base dinâmica'!$D$1="Price",-'Price x SAC x SACRE'!D122,IF('Base dinâmica'!$D$1="sacre",-'Price x SAC x SACRE'!N122,0)))</f>
        <v>-3695.3974588002307</v>
      </c>
      <c r="E123" s="70">
        <f>IF($D$1="SAC",-'Price x SAC x SACRE'!J122,IF('Base dinâmica'!$D$1="Price",-'Price x SAC x SACRE'!E122,IF('Base dinâmica'!$D$1="sacre",-'Price x SAC x SACRE'!O122,0)))</f>
        <v>-389043.11446153658</v>
      </c>
      <c r="F123" s="70">
        <f t="shared" si="45"/>
        <v>16202.071887679745</v>
      </c>
      <c r="G123" s="70">
        <f t="shared" si="46"/>
        <v>-625.18527103934673</v>
      </c>
      <c r="H123" s="70">
        <f t="shared" si="47"/>
        <v>-370.30204515407468</v>
      </c>
      <c r="I123" s="70">
        <f t="shared" si="29"/>
        <v>15206.584571486324</v>
      </c>
      <c r="J123" s="123">
        <f t="shared" si="30"/>
        <v>4.0741237836483535E-3</v>
      </c>
      <c r="K123" s="123">
        <f t="shared" si="48"/>
        <v>3.3061554146507355E-2</v>
      </c>
      <c r="L123" s="124">
        <f t="shared" si="28"/>
        <v>0.1075</v>
      </c>
      <c r="M123" s="125">
        <f>+Dashboard!$B$36</f>
        <v>1</v>
      </c>
      <c r="N123" s="160">
        <f t="shared" si="31"/>
        <v>8.5450710394860963E-3</v>
      </c>
      <c r="O123" s="70">
        <f t="shared" si="32"/>
        <v>1519209.0161380004</v>
      </c>
    </row>
    <row r="124" spans="1:15" outlineLevel="1" x14ac:dyDescent="0.25">
      <c r="A124" s="122">
        <v>117</v>
      </c>
      <c r="B124" s="70">
        <f>IF($D$1="SAC",-'Price x SAC x SACRE'!G123,IF('Base dinâmica'!$D$1="Price",-'Price x SAC x SACRE'!B123,IF('Base dinâmica'!$D$1="sacre",-'Price x SAC x SACRE'!L123,0)))</f>
        <v>-4100.9182743504389</v>
      </c>
      <c r="C124" s="70">
        <f>IF($D$1="SAC",-'Price x SAC x SACRE'!H123,IF('Base dinâmica'!$D$1="Price",-'Price x SAC x SACRE'!C123,IF('Base dinâmica'!$D$1="sacre",-'Price x SAC x SACRE'!M123,0)))</f>
        <v>-409.36871859962713</v>
      </c>
      <c r="D124" s="70">
        <f>IF($D$1="SAC",-'Price x SAC x SACRE'!I123,IF('Base dinâmica'!$D$1="Price",-'Price x SAC x SACRE'!D123,IF('Base dinâmica'!$D$1="sacre",-'Price x SAC x SACRE'!N123,0)))</f>
        <v>-3691.5495557508116</v>
      </c>
      <c r="E124" s="70">
        <f>IF($D$1="SAC",-'Price x SAC x SACRE'!J123,IF('Base dinâmica'!$D$1="Price",-'Price x SAC x SACRE'!E123,IF('Base dinâmica'!$D$1="sacre",-'Price x SAC x SACRE'!O123,0)))</f>
        <v>-388633.74574293697</v>
      </c>
      <c r="F124" s="70">
        <f t="shared" si="45"/>
        <v>16202.071887679745</v>
      </c>
      <c r="G124" s="70">
        <f t="shared" si="46"/>
        <v>-625.18527103934673</v>
      </c>
      <c r="H124" s="70">
        <f t="shared" si="47"/>
        <v>-370.30204515407468</v>
      </c>
      <c r="I124" s="70">
        <f t="shared" si="29"/>
        <v>15206.584571486324</v>
      </c>
      <c r="J124" s="123">
        <f t="shared" si="30"/>
        <v>4.0741237836483535E-3</v>
      </c>
      <c r="K124" s="123">
        <f t="shared" si="48"/>
        <v>3.7270374794228456E-2</v>
      </c>
      <c r="L124" s="124">
        <f t="shared" si="28"/>
        <v>0.1075</v>
      </c>
      <c r="M124" s="125">
        <f>+Dashboard!$B$36</f>
        <v>1</v>
      </c>
      <c r="N124" s="160">
        <f t="shared" si="31"/>
        <v>8.5450710394860963E-3</v>
      </c>
      <c r="O124" s="70">
        <f t="shared" si="32"/>
        <v>1543296.4314018632</v>
      </c>
    </row>
    <row r="125" spans="1:15" outlineLevel="1" x14ac:dyDescent="0.25">
      <c r="A125" s="122">
        <v>118</v>
      </c>
      <c r="B125" s="70">
        <f>IF($D$1="SAC",-'Price x SAC x SACRE'!G124,IF('Base dinâmica'!$D$1="Price",-'Price x SAC x SACRE'!B124,IF('Base dinâmica'!$D$1="sacre",-'Price x SAC x SACRE'!L124,0)))</f>
        <v>-4100.9182743504389</v>
      </c>
      <c r="C125" s="70">
        <f>IF($D$1="SAC",-'Price x SAC x SACRE'!H124,IF('Base dinâmica'!$D$1="Price",-'Price x SAC x SACRE'!C124,IF('Base dinâmica'!$D$1="sacre",-'Price x SAC x SACRE'!M124,0)))</f>
        <v>-413.25313360431454</v>
      </c>
      <c r="D125" s="70">
        <f>IF($D$1="SAC",-'Price x SAC x SACRE'!I124,IF('Base dinâmica'!$D$1="Price",-'Price x SAC x SACRE'!D124,IF('Base dinâmica'!$D$1="sacre",-'Price x SAC x SACRE'!N124,0)))</f>
        <v>-3687.6651407461241</v>
      </c>
      <c r="E125" s="70">
        <f>IF($D$1="SAC",-'Price x SAC x SACRE'!J124,IF('Base dinâmica'!$D$1="Price",-'Price x SAC x SACRE'!E124,IF('Base dinâmica'!$D$1="sacre",-'Price x SAC x SACRE'!O124,0)))</f>
        <v>-388220.49260933266</v>
      </c>
      <c r="F125" s="70">
        <f t="shared" si="45"/>
        <v>16202.071887679745</v>
      </c>
      <c r="G125" s="70">
        <f t="shared" si="46"/>
        <v>-625.18527103934673</v>
      </c>
      <c r="H125" s="70">
        <f t="shared" si="47"/>
        <v>-370.30204515407468</v>
      </c>
      <c r="I125" s="70">
        <f t="shared" si="29"/>
        <v>15206.584571486324</v>
      </c>
      <c r="J125" s="123">
        <f t="shared" si="30"/>
        <v>4.0741237836483535E-3</v>
      </c>
      <c r="K125" s="123">
        <f t="shared" si="48"/>
        <v>4.1496342698251532E-2</v>
      </c>
      <c r="L125" s="124">
        <f t="shared" si="28"/>
        <v>0.1075</v>
      </c>
      <c r="M125" s="125">
        <f>+Dashboard!$B$36</f>
        <v>1</v>
      </c>
      <c r="N125" s="160">
        <f t="shared" si="31"/>
        <v>8.5450710394860963E-3</v>
      </c>
      <c r="O125" s="70">
        <f t="shared" si="32"/>
        <v>1567589.6753403135</v>
      </c>
    </row>
    <row r="126" spans="1:15" outlineLevel="1" x14ac:dyDescent="0.25">
      <c r="A126" s="122">
        <v>119</v>
      </c>
      <c r="B126" s="70">
        <f>IF($D$1="SAC",-'Price x SAC x SACRE'!G125,IF('Base dinâmica'!$D$1="Price",-'Price x SAC x SACRE'!B125,IF('Base dinâmica'!$D$1="sacre",-'Price x SAC x SACRE'!L125,0)))</f>
        <v>-4100.9182743504389</v>
      </c>
      <c r="C126" s="70">
        <f>IF($D$1="SAC",-'Price x SAC x SACRE'!H125,IF('Base dinâmica'!$D$1="Price",-'Price x SAC x SACRE'!C125,IF('Base dinâmica'!$D$1="sacre",-'Price x SAC x SACRE'!M125,0)))</f>
        <v>-417.17440701865343</v>
      </c>
      <c r="D126" s="70">
        <f>IF($D$1="SAC",-'Price x SAC x SACRE'!I125,IF('Base dinâmica'!$D$1="Price",-'Price x SAC x SACRE'!D125,IF('Base dinâmica'!$D$1="sacre",-'Price x SAC x SACRE'!N125,0)))</f>
        <v>-3683.7438673317852</v>
      </c>
      <c r="E126" s="70">
        <f>IF($D$1="SAC",-'Price x SAC x SACRE'!J125,IF('Base dinâmica'!$D$1="Price",-'Price x SAC x SACRE'!E125,IF('Base dinâmica'!$D$1="sacre",-'Price x SAC x SACRE'!O125,0)))</f>
        <v>-387803.31820231403</v>
      </c>
      <c r="F126" s="70">
        <f t="shared" si="45"/>
        <v>16202.071887679745</v>
      </c>
      <c r="G126" s="70">
        <f t="shared" si="46"/>
        <v>-625.18527103934673</v>
      </c>
      <c r="H126" s="70">
        <v>0</v>
      </c>
      <c r="I126" s="70">
        <f t="shared" si="29"/>
        <v>15576.886616640399</v>
      </c>
      <c r="J126" s="123">
        <f t="shared" si="30"/>
        <v>4.0741237836483535E-3</v>
      </c>
      <c r="K126" s="123">
        <f t="shared" si="48"/>
        <v>4.573952771862122E-2</v>
      </c>
      <c r="L126" s="124">
        <f t="shared" si="28"/>
        <v>0.1075</v>
      </c>
      <c r="M126" s="125">
        <f>+Dashboard!$B$36</f>
        <v>1</v>
      </c>
      <c r="N126" s="160">
        <f t="shared" si="31"/>
        <v>8.5450710394860963E-3</v>
      </c>
      <c r="O126" s="70">
        <f t="shared" si="32"/>
        <v>1592460.8088191515</v>
      </c>
    </row>
    <row r="127" spans="1:15" s="53" customFormat="1" x14ac:dyDescent="0.25">
      <c r="A127" s="68">
        <v>120</v>
      </c>
      <c r="B127" s="64">
        <f>IF($D$1="SAC",-'Price x SAC x SACRE'!G126,IF('Base dinâmica'!$D$1="Price",-'Price x SAC x SACRE'!B126,IF('Base dinâmica'!$D$1="sacre",-'Price x SAC x SACRE'!L126,0)))</f>
        <v>-4100.9182743504389</v>
      </c>
      <c r="C127" s="64">
        <f>IF($D$1="SAC",-'Price x SAC x SACRE'!H126,IF('Base dinâmica'!$D$1="Price",-'Price x SAC x SACRE'!C126,IF('Base dinâmica'!$D$1="sacre",-'Price x SAC x SACRE'!M126,0)))</f>
        <v>-421.13288858446089</v>
      </c>
      <c r="D127" s="64">
        <f>IF($D$1="SAC",-'Price x SAC x SACRE'!I126,IF('Base dinâmica'!$D$1="Price",-'Price x SAC x SACRE'!D126,IF('Base dinâmica'!$D$1="sacre",-'Price x SAC x SACRE'!N126,0)))</f>
        <v>-3679.7853857659779</v>
      </c>
      <c r="E127" s="64">
        <f>IF($D$1="SAC",-'Price x SAC x SACRE'!J126,IF('Base dinâmica'!$D$1="Price",-'Price x SAC x SACRE'!E126,IF('Base dinâmica'!$D$1="sacre",-'Price x SAC x SACRE'!O126,0)))</f>
        <v>-387382.18531372957</v>
      </c>
      <c r="F127" s="64">
        <f>+F126</f>
        <v>16202.071887679745</v>
      </c>
      <c r="G127" s="64">
        <f>+G126</f>
        <v>-625.18527103934673</v>
      </c>
      <c r="H127" s="64">
        <v>0</v>
      </c>
      <c r="I127" s="64">
        <f t="shared" si="29"/>
        <v>15576.886616640399</v>
      </c>
      <c r="J127" s="119">
        <f t="shared" si="30"/>
        <v>4.0741237836483535E-3</v>
      </c>
      <c r="K127" s="119">
        <f t="shared" si="48"/>
        <v>5.0000000000000933E-2</v>
      </c>
      <c r="L127" s="120">
        <f t="shared" si="28"/>
        <v>0.1075</v>
      </c>
      <c r="M127" s="121">
        <f>+Dashboard!$B$36</f>
        <v>1</v>
      </c>
      <c r="N127" s="160">
        <f t="shared" si="31"/>
        <v>8.5450710394860963E-3</v>
      </c>
      <c r="O127" s="64">
        <f t="shared" si="32"/>
        <v>1617544.4679003987</v>
      </c>
    </row>
    <row r="128" spans="1:15" outlineLevel="1" x14ac:dyDescent="0.25">
      <c r="A128" s="122">
        <v>121</v>
      </c>
      <c r="B128" s="70">
        <f>IF($D$1="SAC",-'Price x SAC x SACRE'!G127,IF('Base dinâmica'!$D$1="Price",-'Price x SAC x SACRE'!B127,IF('Base dinâmica'!$D$1="sacre",-'Price x SAC x SACRE'!L127,0)))</f>
        <v>-4100.9182743504389</v>
      </c>
      <c r="C128" s="70">
        <f>IF($D$1="SAC",-'Price x SAC x SACRE'!H127,IF('Base dinâmica'!$D$1="Price",-'Price x SAC x SACRE'!C127,IF('Base dinâmica'!$D$1="sacre",-'Price x SAC x SACRE'!M127,0)))</f>
        <v>-425.12893136218167</v>
      </c>
      <c r="D128" s="70">
        <f>IF($D$1="SAC",-'Price x SAC x SACRE'!I127,IF('Base dinâmica'!$D$1="Price",-'Price x SAC x SACRE'!D127,IF('Base dinâmica'!$D$1="sacre",-'Price x SAC x SACRE'!N127,0)))</f>
        <v>-3675.7893429882574</v>
      </c>
      <c r="E128" s="70">
        <f>IF($D$1="SAC",-'Price x SAC x SACRE'!J127,IF('Base dinâmica'!$D$1="Price",-'Price x SAC x SACRE'!E127,IF('Base dinâmica'!$D$1="sacre",-'Price x SAC x SACRE'!O127,0)))</f>
        <v>-386957.05638236739</v>
      </c>
      <c r="F128" s="70">
        <f>+F127*(1+K127)</f>
        <v>17012.175482063747</v>
      </c>
      <c r="G128" s="70">
        <f>+G127*(1+K127)</f>
        <v>-656.44453459131466</v>
      </c>
      <c r="H128" s="70">
        <f>+H125*(1+K127)</f>
        <v>-388.81714741177876</v>
      </c>
      <c r="I128" s="70">
        <f t="shared" si="29"/>
        <v>15966.913800060653</v>
      </c>
      <c r="J128" s="123">
        <f t="shared" si="30"/>
        <v>4.0741237836483535E-3</v>
      </c>
      <c r="K128" s="123">
        <f>+J128</f>
        <v>4.0741237836483535E-3</v>
      </c>
      <c r="L128" s="124">
        <f t="shared" si="28"/>
        <v>0.1075</v>
      </c>
      <c r="M128" s="125">
        <f>+Dashboard!$B$36</f>
        <v>1</v>
      </c>
      <c r="N128" s="160">
        <f t="shared" si="31"/>
        <v>8.5450710394860963E-3</v>
      </c>
      <c r="O128" s="70">
        <f t="shared" si="32"/>
        <v>1643232.4958138457</v>
      </c>
    </row>
    <row r="129" spans="1:15" outlineLevel="1" x14ac:dyDescent="0.25">
      <c r="A129" s="122">
        <v>122</v>
      </c>
      <c r="B129" s="70">
        <f>IF($D$1="SAC",-'Price x SAC x SACRE'!G128,IF('Base dinâmica'!$D$1="Price",-'Price x SAC x SACRE'!B128,IF('Base dinâmica'!$D$1="sacre",-'Price x SAC x SACRE'!L128,0)))</f>
        <v>-4100.9182743504389</v>
      </c>
      <c r="C129" s="70">
        <f>IF($D$1="SAC",-'Price x SAC x SACRE'!H128,IF('Base dinâmica'!$D$1="Price",-'Price x SAC x SACRE'!C128,IF('Base dinâmica'!$D$1="sacre",-'Price x SAC x SACRE'!M128,0)))</f>
        <v>-429.16289176237819</v>
      </c>
      <c r="D129" s="70">
        <f>IF($D$1="SAC",-'Price x SAC x SACRE'!I128,IF('Base dinâmica'!$D$1="Price",-'Price x SAC x SACRE'!D128,IF('Base dinâmica'!$D$1="sacre",-'Price x SAC x SACRE'!N128,0)))</f>
        <v>-3671.7553825880609</v>
      </c>
      <c r="E129" s="70">
        <f>IF($D$1="SAC",-'Price x SAC x SACRE'!J128,IF('Base dinâmica'!$D$1="Price",-'Price x SAC x SACRE'!E128,IF('Base dinâmica'!$D$1="sacre",-'Price x SAC x SACRE'!O128,0)))</f>
        <v>-386527.893490605</v>
      </c>
      <c r="F129" s="70">
        <f>+F128</f>
        <v>17012.175482063747</v>
      </c>
      <c r="G129" s="70">
        <f>+G128</f>
        <v>-656.44453459131466</v>
      </c>
      <c r="H129" s="70">
        <f>+H128</f>
        <v>-388.81714741177876</v>
      </c>
      <c r="I129" s="70">
        <f t="shared" si="29"/>
        <v>15966.913800060653</v>
      </c>
      <c r="J129" s="123">
        <f t="shared" si="30"/>
        <v>4.0741237836483535E-3</v>
      </c>
      <c r="K129" s="123">
        <f>((+K128+1)*(J129+1))-1</f>
        <v>8.1648460519012644E-3</v>
      </c>
      <c r="L129" s="124">
        <f t="shared" si="28"/>
        <v>0.1075</v>
      </c>
      <c r="M129" s="125">
        <f>+Dashboard!$B$36</f>
        <v>1</v>
      </c>
      <c r="N129" s="160">
        <f t="shared" si="31"/>
        <v>8.5450710394860963E-3</v>
      </c>
      <c r="O129" s="70">
        <f t="shared" si="32"/>
        <v>1669140.0297506773</v>
      </c>
    </row>
    <row r="130" spans="1:15" outlineLevel="1" x14ac:dyDescent="0.25">
      <c r="A130" s="122">
        <v>123</v>
      </c>
      <c r="B130" s="70">
        <f>IF($D$1="SAC",-'Price x SAC x SACRE'!G129,IF('Base dinâmica'!$D$1="Price",-'Price x SAC x SACRE'!B129,IF('Base dinâmica'!$D$1="sacre",-'Price x SAC x SACRE'!L129,0)))</f>
        <v>-4100.9182743504389</v>
      </c>
      <c r="C130" s="70">
        <f>IF($D$1="SAC",-'Price x SAC x SACRE'!H129,IF('Base dinâmica'!$D$1="Price",-'Price x SAC x SACRE'!C129,IF('Base dinâmica'!$D$1="sacre",-'Price x SAC x SACRE'!M129,0)))</f>
        <v>-433.23512957751819</v>
      </c>
      <c r="D130" s="70">
        <f>IF($D$1="SAC",-'Price x SAC x SACRE'!I129,IF('Base dinâmica'!$D$1="Price",-'Price x SAC x SACRE'!D129,IF('Base dinâmica'!$D$1="sacre",-'Price x SAC x SACRE'!N129,0)))</f>
        <v>-3667.6831447729205</v>
      </c>
      <c r="E130" s="70">
        <f>IF($D$1="SAC",-'Price x SAC x SACRE'!J129,IF('Base dinâmica'!$D$1="Price",-'Price x SAC x SACRE'!E129,IF('Base dinâmica'!$D$1="sacre",-'Price x SAC x SACRE'!O129,0)))</f>
        <v>-386094.65836102748</v>
      </c>
      <c r="F130" s="70">
        <f t="shared" ref="F130:F138" si="49">+F129</f>
        <v>17012.175482063747</v>
      </c>
      <c r="G130" s="70">
        <f t="shared" ref="G130:G138" si="50">+G129</f>
        <v>-656.44453459131466</v>
      </c>
      <c r="H130" s="70">
        <f t="shared" ref="H130:H137" si="51">+H129</f>
        <v>-388.81714741177876</v>
      </c>
      <c r="I130" s="70">
        <f t="shared" si="29"/>
        <v>15966.913800060653</v>
      </c>
      <c r="J130" s="123">
        <f t="shared" si="30"/>
        <v>4.0741237836483535E-3</v>
      </c>
      <c r="K130" s="123">
        <f t="shared" ref="K130:K139" si="52">((+K129+1)*(J130+1))-1</f>
        <v>1.2272234429039575E-2</v>
      </c>
      <c r="L130" s="124">
        <f t="shared" si="28"/>
        <v>0.1075</v>
      </c>
      <c r="M130" s="125">
        <f>+Dashboard!$B$36</f>
        <v>1</v>
      </c>
      <c r="N130" s="160">
        <f t="shared" si="31"/>
        <v>8.5450710394860963E-3</v>
      </c>
      <c r="O130" s="70">
        <f t="shared" si="32"/>
        <v>1695268.9454054569</v>
      </c>
    </row>
    <row r="131" spans="1:15" outlineLevel="1" x14ac:dyDescent="0.25">
      <c r="A131" s="122">
        <v>124</v>
      </c>
      <c r="B131" s="70">
        <f>IF($D$1="SAC",-'Price x SAC x SACRE'!G130,IF('Base dinâmica'!$D$1="Price",-'Price x SAC x SACRE'!B130,IF('Base dinâmica'!$D$1="sacre",-'Price x SAC x SACRE'!L130,0)))</f>
        <v>-4100.9182743504389</v>
      </c>
      <c r="C131" s="70">
        <f>IF($D$1="SAC",-'Price x SAC x SACRE'!H130,IF('Base dinâmica'!$D$1="Price",-'Price x SAC x SACRE'!C130,IF('Base dinâmica'!$D$1="sacre",-'Price x SAC x SACRE'!M130,0)))</f>
        <v>-437.34600801406646</v>
      </c>
      <c r="D131" s="70">
        <f>IF($D$1="SAC",-'Price x SAC x SACRE'!I130,IF('Base dinâmica'!$D$1="Price",-'Price x SAC x SACRE'!D130,IF('Base dinâmica'!$D$1="sacre",-'Price x SAC x SACRE'!N130,0)))</f>
        <v>-3663.5722663363726</v>
      </c>
      <c r="E131" s="70">
        <f>IF($D$1="SAC",-'Price x SAC x SACRE'!J130,IF('Base dinâmica'!$D$1="Price",-'Price x SAC x SACRE'!E130,IF('Base dinâmica'!$D$1="sacre",-'Price x SAC x SACRE'!O130,0)))</f>
        <v>-385657.31235301343</v>
      </c>
      <c r="F131" s="70">
        <f t="shared" si="49"/>
        <v>17012.175482063747</v>
      </c>
      <c r="G131" s="70">
        <f t="shared" si="50"/>
        <v>-656.44453459131466</v>
      </c>
      <c r="H131" s="70">
        <f t="shared" si="51"/>
        <v>-388.81714741177876</v>
      </c>
      <c r="I131" s="70">
        <f t="shared" si="29"/>
        <v>15966.913800060653</v>
      </c>
      <c r="J131" s="123">
        <f t="shared" si="30"/>
        <v>4.0741237836483535E-3</v>
      </c>
      <c r="K131" s="123">
        <f t="shared" si="52"/>
        <v>1.6396356814853741E-2</v>
      </c>
      <c r="L131" s="124">
        <f t="shared" si="28"/>
        <v>0.1075</v>
      </c>
      <c r="M131" s="125">
        <f>+Dashboard!$B$36</f>
        <v>1</v>
      </c>
      <c r="N131" s="160">
        <f t="shared" si="31"/>
        <v>8.5450710394860963E-3</v>
      </c>
      <c r="O131" s="70">
        <f t="shared" si="32"/>
        <v>1721621.1345006914</v>
      </c>
    </row>
    <row r="132" spans="1:15" outlineLevel="1" x14ac:dyDescent="0.25">
      <c r="A132" s="122">
        <v>125</v>
      </c>
      <c r="B132" s="70">
        <f>IF($D$1="SAC",-'Price x SAC x SACRE'!G131,IF('Base dinâmica'!$D$1="Price",-'Price x SAC x SACRE'!B131,IF('Base dinâmica'!$D$1="sacre",-'Price x SAC x SACRE'!L131,0)))</f>
        <v>-4100.9182743504389</v>
      </c>
      <c r="C132" s="70">
        <f>IF($D$1="SAC",-'Price x SAC x SACRE'!H131,IF('Base dinâmica'!$D$1="Price",-'Price x SAC x SACRE'!C131,IF('Base dinâmica'!$D$1="sacre",-'Price x SAC x SACRE'!M131,0)))</f>
        <v>-441.49589372487839</v>
      </c>
      <c r="D132" s="70">
        <f>IF($D$1="SAC",-'Price x SAC x SACRE'!I131,IF('Base dinâmica'!$D$1="Price",-'Price x SAC x SACRE'!D131,IF('Base dinâmica'!$D$1="sacre",-'Price x SAC x SACRE'!N131,0)))</f>
        <v>-3659.4223806255604</v>
      </c>
      <c r="E132" s="70">
        <f>IF($D$1="SAC",-'Price x SAC x SACRE'!J131,IF('Base dinâmica'!$D$1="Price",-'Price x SAC x SACRE'!E131,IF('Base dinâmica'!$D$1="sacre",-'Price x SAC x SACRE'!O131,0)))</f>
        <v>-385215.81645928853</v>
      </c>
      <c r="F132" s="70">
        <f t="shared" si="49"/>
        <v>17012.175482063747</v>
      </c>
      <c r="G132" s="70">
        <f t="shared" si="50"/>
        <v>-656.44453459131466</v>
      </c>
      <c r="H132" s="70">
        <f t="shared" si="51"/>
        <v>-388.81714741177876</v>
      </c>
      <c r="I132" s="70">
        <f t="shared" si="29"/>
        <v>15966.913800060653</v>
      </c>
      <c r="J132" s="123">
        <f t="shared" si="30"/>
        <v>4.0741237836483535E-3</v>
      </c>
      <c r="K132" s="123">
        <f t="shared" si="52"/>
        <v>2.0537281385766715E-2</v>
      </c>
      <c r="L132" s="124">
        <f t="shared" si="28"/>
        <v>0.1075</v>
      </c>
      <c r="M132" s="125">
        <f>+Dashboard!$B$36</f>
        <v>1</v>
      </c>
      <c r="N132" s="160">
        <f t="shared" si="31"/>
        <v>8.5450710394860963E-3</v>
      </c>
      <c r="O132" s="70">
        <f t="shared" si="32"/>
        <v>1748198.5049237907</v>
      </c>
    </row>
    <row r="133" spans="1:15" outlineLevel="1" x14ac:dyDescent="0.25">
      <c r="A133" s="122">
        <v>126</v>
      </c>
      <c r="B133" s="70">
        <f>IF($D$1="SAC",-'Price x SAC x SACRE'!G132,IF('Base dinâmica'!$D$1="Price",-'Price x SAC x SACRE'!B132,IF('Base dinâmica'!$D$1="sacre",-'Price x SAC x SACRE'!L132,0)))</f>
        <v>-4100.9182743504389</v>
      </c>
      <c r="C133" s="70">
        <f>IF($D$1="SAC",-'Price x SAC x SACRE'!H132,IF('Base dinâmica'!$D$1="Price",-'Price x SAC x SACRE'!C132,IF('Base dinâmica'!$D$1="sacre",-'Price x SAC x SACRE'!M132,0)))</f>
        <v>-445.68515684190243</v>
      </c>
      <c r="D133" s="70">
        <f>IF($D$1="SAC",-'Price x SAC x SACRE'!I132,IF('Base dinâmica'!$D$1="Price",-'Price x SAC x SACRE'!D132,IF('Base dinâmica'!$D$1="sacre",-'Price x SAC x SACRE'!N132,0)))</f>
        <v>-3655.2331175085365</v>
      </c>
      <c r="E133" s="70">
        <f>IF($D$1="SAC",-'Price x SAC x SACRE'!J132,IF('Base dinâmica'!$D$1="Price",-'Price x SAC x SACRE'!E132,IF('Base dinâmica'!$D$1="sacre",-'Price x SAC x SACRE'!O132,0)))</f>
        <v>-384770.13130244665</v>
      </c>
      <c r="F133" s="70">
        <f t="shared" si="49"/>
        <v>17012.175482063747</v>
      </c>
      <c r="G133" s="70">
        <f t="shared" si="50"/>
        <v>-656.44453459131466</v>
      </c>
      <c r="H133" s="70">
        <f t="shared" si="51"/>
        <v>-388.81714741177876</v>
      </c>
      <c r="I133" s="70">
        <f t="shared" si="29"/>
        <v>15966.913800060653</v>
      </c>
      <c r="J133" s="123">
        <f t="shared" si="30"/>
        <v>4.0741237836483535E-3</v>
      </c>
      <c r="K133" s="123">
        <f t="shared" si="52"/>
        <v>2.4695076595960375E-2</v>
      </c>
      <c r="L133" s="124">
        <f t="shared" si="28"/>
        <v>0.1075</v>
      </c>
      <c r="M133" s="125">
        <f>+Dashboard!$B$36</f>
        <v>1</v>
      </c>
      <c r="N133" s="160">
        <f t="shared" si="31"/>
        <v>8.5450710394860963E-3</v>
      </c>
      <c r="O133" s="70">
        <f t="shared" si="32"/>
        <v>1775002.9808651982</v>
      </c>
    </row>
    <row r="134" spans="1:15" outlineLevel="1" x14ac:dyDescent="0.25">
      <c r="A134" s="122">
        <v>127</v>
      </c>
      <c r="B134" s="70">
        <f>IF($D$1="SAC",-'Price x SAC x SACRE'!G133,IF('Base dinâmica'!$D$1="Price",-'Price x SAC x SACRE'!B133,IF('Base dinâmica'!$D$1="sacre",-'Price x SAC x SACRE'!L133,0)))</f>
        <v>-4100.9182743504389</v>
      </c>
      <c r="C134" s="70">
        <f>IF($D$1="SAC",-'Price x SAC x SACRE'!H133,IF('Base dinâmica'!$D$1="Price",-'Price x SAC x SACRE'!C133,IF('Base dinâmica'!$D$1="sacre",-'Price x SAC x SACRE'!M133,0)))</f>
        <v>-449.91417100919244</v>
      </c>
      <c r="D134" s="70">
        <f>IF($D$1="SAC",-'Price x SAC x SACRE'!I133,IF('Base dinâmica'!$D$1="Price",-'Price x SAC x SACRE'!D133,IF('Base dinâmica'!$D$1="sacre",-'Price x SAC x SACRE'!N133,0)))</f>
        <v>-3651.0041033412467</v>
      </c>
      <c r="E134" s="70">
        <f>IF($D$1="SAC",-'Price x SAC x SACRE'!J133,IF('Base dinâmica'!$D$1="Price",-'Price x SAC x SACRE'!E133,IF('Base dinâmica'!$D$1="sacre",-'Price x SAC x SACRE'!O133,0)))</f>
        <v>-384320.21713143744</v>
      </c>
      <c r="F134" s="70">
        <f t="shared" si="49"/>
        <v>17012.175482063747</v>
      </c>
      <c r="G134" s="70">
        <f t="shared" si="50"/>
        <v>-656.44453459131466</v>
      </c>
      <c r="H134" s="70">
        <f t="shared" si="51"/>
        <v>-388.81714741177876</v>
      </c>
      <c r="I134" s="70">
        <f t="shared" si="29"/>
        <v>15966.913800060653</v>
      </c>
      <c r="J134" s="123">
        <f t="shared" si="30"/>
        <v>4.0741237836483535E-3</v>
      </c>
      <c r="K134" s="123">
        <f t="shared" si="52"/>
        <v>2.8869811178507288E-2</v>
      </c>
      <c r="L134" s="124">
        <f t="shared" si="28"/>
        <v>0.1075</v>
      </c>
      <c r="M134" s="125">
        <f>+Dashboard!$B$36</f>
        <v>1</v>
      </c>
      <c r="N134" s="160">
        <f t="shared" si="31"/>
        <v>8.5450710394860963E-3</v>
      </c>
      <c r="O134" s="70">
        <f t="shared" si="32"/>
        <v>1802036.5029577012</v>
      </c>
    </row>
    <row r="135" spans="1:15" outlineLevel="1" x14ac:dyDescent="0.25">
      <c r="A135" s="122">
        <v>128</v>
      </c>
      <c r="B135" s="70">
        <f>IF($D$1="SAC",-'Price x SAC x SACRE'!G134,IF('Base dinâmica'!$D$1="Price",-'Price x SAC x SACRE'!B134,IF('Base dinâmica'!$D$1="sacre",-'Price x SAC x SACRE'!L134,0)))</f>
        <v>-4100.9182743504389</v>
      </c>
      <c r="C135" s="70">
        <f>IF($D$1="SAC",-'Price x SAC x SACRE'!H134,IF('Base dinâmica'!$D$1="Price",-'Price x SAC x SACRE'!C134,IF('Base dinâmica'!$D$1="sacre",-'Price x SAC x SACRE'!M134,0)))</f>
        <v>-454.1833134162332</v>
      </c>
      <c r="D135" s="70">
        <f>IF($D$1="SAC",-'Price x SAC x SACRE'!I134,IF('Base dinâmica'!$D$1="Price",-'Price x SAC x SACRE'!D134,IF('Base dinâmica'!$D$1="sacre",-'Price x SAC x SACRE'!N134,0)))</f>
        <v>-3646.7349609342054</v>
      </c>
      <c r="E135" s="70">
        <f>IF($D$1="SAC",-'Price x SAC x SACRE'!J134,IF('Base dinâmica'!$D$1="Price",-'Price x SAC x SACRE'!E134,IF('Base dinâmica'!$D$1="sacre",-'Price x SAC x SACRE'!O134,0)))</f>
        <v>-383866.03381802118</v>
      </c>
      <c r="F135" s="70">
        <f t="shared" si="49"/>
        <v>17012.175482063747</v>
      </c>
      <c r="G135" s="70">
        <f t="shared" si="50"/>
        <v>-656.44453459131466</v>
      </c>
      <c r="H135" s="70">
        <f t="shared" si="51"/>
        <v>-388.81714741177876</v>
      </c>
      <c r="I135" s="70">
        <f t="shared" si="29"/>
        <v>15966.913800060653</v>
      </c>
      <c r="J135" s="123">
        <f t="shared" si="30"/>
        <v>4.0741237836483535E-3</v>
      </c>
      <c r="K135" s="123">
        <f t="shared" si="52"/>
        <v>3.3061554146507355E-2</v>
      </c>
      <c r="L135" s="124">
        <f t="shared" si="28"/>
        <v>0.1075</v>
      </c>
      <c r="M135" s="125">
        <f>+Dashboard!$B$36</f>
        <v>1</v>
      </c>
      <c r="N135" s="160">
        <f t="shared" si="31"/>
        <v>8.5450710394860963E-3</v>
      </c>
      <c r="O135" s="70">
        <f t="shared" si="32"/>
        <v>1829301.0284169321</v>
      </c>
    </row>
    <row r="136" spans="1:15" outlineLevel="1" x14ac:dyDescent="0.25">
      <c r="A136" s="122">
        <v>129</v>
      </c>
      <c r="B136" s="70">
        <f>IF($D$1="SAC",-'Price x SAC x SACRE'!G135,IF('Base dinâmica'!$D$1="Price",-'Price x SAC x SACRE'!B135,IF('Base dinâmica'!$D$1="sacre",-'Price x SAC x SACRE'!L135,0)))</f>
        <v>-4100.9182743504389</v>
      </c>
      <c r="C136" s="70">
        <f>IF($D$1="SAC",-'Price x SAC x SACRE'!H135,IF('Base dinâmica'!$D$1="Price",-'Price x SAC x SACRE'!C135,IF('Base dinâmica'!$D$1="sacre",-'Price x SAC x SACRE'!M135,0)))</f>
        <v>-458.49296483158287</v>
      </c>
      <c r="D136" s="70">
        <f>IF($D$1="SAC",-'Price x SAC x SACRE'!I135,IF('Base dinâmica'!$D$1="Price",-'Price x SAC x SACRE'!D135,IF('Base dinâmica'!$D$1="sacre",-'Price x SAC x SACRE'!N135,0)))</f>
        <v>-3642.425309518856</v>
      </c>
      <c r="E136" s="70">
        <f>IF($D$1="SAC",-'Price x SAC x SACRE'!J135,IF('Base dinâmica'!$D$1="Price",-'Price x SAC x SACRE'!E135,IF('Base dinâmica'!$D$1="sacre",-'Price x SAC x SACRE'!O135,0)))</f>
        <v>-383407.5408531896</v>
      </c>
      <c r="F136" s="70">
        <f t="shared" si="49"/>
        <v>17012.175482063747</v>
      </c>
      <c r="G136" s="70">
        <f t="shared" si="50"/>
        <v>-656.44453459131466</v>
      </c>
      <c r="H136" s="70">
        <f t="shared" si="51"/>
        <v>-388.81714741177876</v>
      </c>
      <c r="I136" s="70">
        <f t="shared" si="29"/>
        <v>15966.913800060653</v>
      </c>
      <c r="J136" s="123">
        <f t="shared" si="30"/>
        <v>4.0741237836483535E-3</v>
      </c>
      <c r="K136" s="123">
        <f t="shared" si="52"/>
        <v>3.7270374794228456E-2</v>
      </c>
      <c r="L136" s="124">
        <f t="shared" ref="L136:L199" si="53">+$N$2</f>
        <v>0.1075</v>
      </c>
      <c r="M136" s="125">
        <f>+Dashboard!$B$36</f>
        <v>1</v>
      </c>
      <c r="N136" s="160">
        <f t="shared" si="31"/>
        <v>8.5450710394860963E-3</v>
      </c>
      <c r="O136" s="70">
        <f t="shared" si="32"/>
        <v>1856798.53118307</v>
      </c>
    </row>
    <row r="137" spans="1:15" outlineLevel="1" x14ac:dyDescent="0.25">
      <c r="A137" s="122">
        <v>130</v>
      </c>
      <c r="B137" s="70">
        <f>IF($D$1="SAC",-'Price x SAC x SACRE'!G136,IF('Base dinâmica'!$D$1="Price",-'Price x SAC x SACRE'!B136,IF('Base dinâmica'!$D$1="sacre",-'Price x SAC x SACRE'!L136,0)))</f>
        <v>-4100.9182743504389</v>
      </c>
      <c r="C137" s="70">
        <f>IF($D$1="SAC",-'Price x SAC x SACRE'!H136,IF('Base dinâmica'!$D$1="Price",-'Price x SAC x SACRE'!C136,IF('Base dinâmica'!$D$1="sacre",-'Price x SAC x SACRE'!M136,0)))</f>
        <v>-462.84350963683278</v>
      </c>
      <c r="D137" s="70">
        <f>IF($D$1="SAC",-'Price x SAC x SACRE'!I136,IF('Base dinâmica'!$D$1="Price",-'Price x SAC x SACRE'!D136,IF('Base dinâmica'!$D$1="sacre",-'Price x SAC x SACRE'!N136,0)))</f>
        <v>-3638.0747647136059</v>
      </c>
      <c r="E137" s="70">
        <f>IF($D$1="SAC",-'Price x SAC x SACRE'!J136,IF('Base dinâmica'!$D$1="Price",-'Price x SAC x SACRE'!E136,IF('Base dinâmica'!$D$1="sacre",-'Price x SAC x SACRE'!O136,0)))</f>
        <v>-382944.69734355278</v>
      </c>
      <c r="F137" s="70">
        <f t="shared" si="49"/>
        <v>17012.175482063747</v>
      </c>
      <c r="G137" s="70">
        <f t="shared" si="50"/>
        <v>-656.44453459131466</v>
      </c>
      <c r="H137" s="70">
        <f t="shared" si="51"/>
        <v>-388.81714741177876</v>
      </c>
      <c r="I137" s="70">
        <f t="shared" ref="I137:I187" si="54">+F137+G137+H137</f>
        <v>15966.913800060653</v>
      </c>
      <c r="J137" s="123">
        <f t="shared" ref="J137:J200" si="55">+$L$3</f>
        <v>4.0741237836483535E-3</v>
      </c>
      <c r="K137" s="123">
        <f t="shared" si="52"/>
        <v>4.1496342698251532E-2</v>
      </c>
      <c r="L137" s="124">
        <f t="shared" si="53"/>
        <v>0.1075</v>
      </c>
      <c r="M137" s="125">
        <f>+Dashboard!$B$36</f>
        <v>1</v>
      </c>
      <c r="N137" s="160">
        <f t="shared" ref="N137:N200" si="56">((((1+L137)^(1/12))-1)*M137)</f>
        <v>8.5450710394860963E-3</v>
      </c>
      <c r="O137" s="70">
        <f t="shared" si="32"/>
        <v>1884531.0020637531</v>
      </c>
    </row>
    <row r="138" spans="1:15" outlineLevel="1" x14ac:dyDescent="0.25">
      <c r="A138" s="122">
        <v>131</v>
      </c>
      <c r="B138" s="70">
        <f>IF($D$1="SAC",-'Price x SAC x SACRE'!G137,IF('Base dinâmica'!$D$1="Price",-'Price x SAC x SACRE'!B137,IF('Base dinâmica'!$D$1="sacre",-'Price x SAC x SACRE'!L137,0)))</f>
        <v>-4100.9182743504389</v>
      </c>
      <c r="C138" s="70">
        <f>IF($D$1="SAC",-'Price x SAC x SACRE'!H137,IF('Base dinâmica'!$D$1="Price",-'Price x SAC x SACRE'!C137,IF('Base dinâmica'!$D$1="sacre",-'Price x SAC x SACRE'!M137,0)))</f>
        <v>-467.23533586089235</v>
      </c>
      <c r="D138" s="70">
        <f>IF($D$1="SAC",-'Price x SAC x SACRE'!I137,IF('Base dinâmica'!$D$1="Price",-'Price x SAC x SACRE'!D137,IF('Base dinâmica'!$D$1="sacre",-'Price x SAC x SACRE'!N137,0)))</f>
        <v>-3633.6829384895464</v>
      </c>
      <c r="E138" s="70">
        <f>IF($D$1="SAC",-'Price x SAC x SACRE'!J137,IF('Base dinâmica'!$D$1="Price",-'Price x SAC x SACRE'!E137,IF('Base dinâmica'!$D$1="sacre",-'Price x SAC x SACRE'!O137,0)))</f>
        <v>-382477.46200769191</v>
      </c>
      <c r="F138" s="70">
        <f t="shared" si="49"/>
        <v>17012.175482063747</v>
      </c>
      <c r="G138" s="70">
        <f t="shared" si="50"/>
        <v>-656.44453459131466</v>
      </c>
      <c r="H138" s="70">
        <v>0</v>
      </c>
      <c r="I138" s="70">
        <f t="shared" si="54"/>
        <v>16355.730947472432</v>
      </c>
      <c r="J138" s="123">
        <f t="shared" si="55"/>
        <v>4.0741237836483535E-3</v>
      </c>
      <c r="K138" s="123">
        <f t="shared" si="52"/>
        <v>4.573952771862122E-2</v>
      </c>
      <c r="L138" s="124">
        <f t="shared" si="53"/>
        <v>0.1075</v>
      </c>
      <c r="M138" s="125">
        <f>+Dashboard!$B$36</f>
        <v>1</v>
      </c>
      <c r="N138" s="160">
        <f t="shared" si="56"/>
        <v>8.5450710394860963E-3</v>
      </c>
      <c r="O138" s="70">
        <f t="shared" ref="O138:O201" si="57">IF(O137&lt;=0,+I138+B138+O137,(+O137)*(((((1+L138)^(1/12))-1)*(M138))+1)+I138+B138)</f>
        <v>1912889.2660256238</v>
      </c>
    </row>
    <row r="139" spans="1:15" s="53" customFormat="1" x14ac:dyDescent="0.25">
      <c r="A139" s="68">
        <v>132</v>
      </c>
      <c r="B139" s="64">
        <f>IF($D$1="SAC",-'Price x SAC x SACRE'!G138,IF('Base dinâmica'!$D$1="Price",-'Price x SAC x SACRE'!B138,IF('Base dinâmica'!$D$1="sacre",-'Price x SAC x SACRE'!L138,0)))</f>
        <v>-4100.9182743504389</v>
      </c>
      <c r="C139" s="64">
        <f>IF($D$1="SAC",-'Price x SAC x SACRE'!H138,IF('Base dinâmica'!$D$1="Price",-'Price x SAC x SACRE'!C138,IF('Base dinâmica'!$D$1="sacre",-'Price x SAC x SACRE'!M138,0)))</f>
        <v>-471.66883521459664</v>
      </c>
      <c r="D139" s="64">
        <f>IF($D$1="SAC",-'Price x SAC x SACRE'!I138,IF('Base dinâmica'!$D$1="Price",-'Price x SAC x SACRE'!D138,IF('Base dinâmica'!$D$1="sacre",-'Price x SAC x SACRE'!N138,0)))</f>
        <v>-3629.2494391358423</v>
      </c>
      <c r="E139" s="64">
        <f>IF($D$1="SAC",-'Price x SAC x SACRE'!J138,IF('Base dinâmica'!$D$1="Price",-'Price x SAC x SACRE'!E138,IF('Base dinâmica'!$D$1="sacre",-'Price x SAC x SACRE'!O138,0)))</f>
        <v>-382005.79317247734</v>
      </c>
      <c r="F139" s="64">
        <f>+F138</f>
        <v>17012.175482063747</v>
      </c>
      <c r="G139" s="64">
        <f>+G138</f>
        <v>-656.44453459131466</v>
      </c>
      <c r="H139" s="64">
        <v>0</v>
      </c>
      <c r="I139" s="64">
        <f t="shared" si="54"/>
        <v>16355.730947472432</v>
      </c>
      <c r="J139" s="119">
        <f t="shared" si="55"/>
        <v>4.0741237836483535E-3</v>
      </c>
      <c r="K139" s="119">
        <f t="shared" si="52"/>
        <v>5.0000000000000933E-2</v>
      </c>
      <c r="L139" s="120">
        <f t="shared" si="53"/>
        <v>0.1075</v>
      </c>
      <c r="M139" s="121">
        <f>+Dashboard!$B$36</f>
        <v>1</v>
      </c>
      <c r="N139" s="160">
        <f t="shared" si="56"/>
        <v>8.5450710394860963E-3</v>
      </c>
      <c r="O139" s="64">
        <f t="shared" si="57"/>
        <v>1941489.853367605</v>
      </c>
    </row>
    <row r="140" spans="1:15" outlineLevel="1" x14ac:dyDescent="0.25">
      <c r="A140" s="122">
        <v>133</v>
      </c>
      <c r="B140" s="70">
        <f>IF($D$1="SAC",-'Price x SAC x SACRE'!G139,IF('Base dinâmica'!$D$1="Price",-'Price x SAC x SACRE'!B139,IF('Base dinâmica'!$D$1="sacre",-'Price x SAC x SACRE'!L139,0)))</f>
        <v>-4100.9182743504389</v>
      </c>
      <c r="C140" s="70">
        <f>IF($D$1="SAC",-'Price x SAC x SACRE'!H139,IF('Base dinâmica'!$D$1="Price",-'Price x SAC x SACRE'!C139,IF('Base dinâmica'!$D$1="sacre",-'Price x SAC x SACRE'!M139,0)))</f>
        <v>-476.14440312564392</v>
      </c>
      <c r="D140" s="70">
        <f>IF($D$1="SAC",-'Price x SAC x SACRE'!I139,IF('Base dinâmica'!$D$1="Price",-'Price x SAC x SACRE'!D139,IF('Base dinâmica'!$D$1="sacre",-'Price x SAC x SACRE'!N139,0)))</f>
        <v>-3624.7738712247951</v>
      </c>
      <c r="E140" s="70">
        <f>IF($D$1="SAC",-'Price x SAC x SACRE'!J139,IF('Base dinâmica'!$D$1="Price",-'Price x SAC x SACRE'!E139,IF('Base dinâmica'!$D$1="sacre",-'Price x SAC x SACRE'!O139,0)))</f>
        <v>-381529.64876935171</v>
      </c>
      <c r="F140" s="70">
        <f>+F139*(1+K139)</f>
        <v>17862.784256166949</v>
      </c>
      <c r="G140" s="70">
        <f>+G139*(1+K139)</f>
        <v>-689.26676132088096</v>
      </c>
      <c r="H140" s="70">
        <f>+H137*(1+K139)</f>
        <v>-408.25800478236806</v>
      </c>
      <c r="I140" s="70">
        <f t="shared" si="54"/>
        <v>16765.259490063701</v>
      </c>
      <c r="J140" s="123">
        <f t="shared" si="55"/>
        <v>4.0741237836483535E-3</v>
      </c>
      <c r="K140" s="123">
        <f>+J140</f>
        <v>4.0741237836483535E-3</v>
      </c>
      <c r="L140" s="124">
        <f t="shared" si="53"/>
        <v>0.1075</v>
      </c>
      <c r="M140" s="125">
        <f>+Dashboard!$B$36</f>
        <v>1</v>
      </c>
      <c r="N140" s="160">
        <f t="shared" si="56"/>
        <v>8.5450710394860963E-3</v>
      </c>
      <c r="O140" s="70">
        <f t="shared" si="57"/>
        <v>1970744.3633027859</v>
      </c>
    </row>
    <row r="141" spans="1:15" outlineLevel="1" x14ac:dyDescent="0.25">
      <c r="A141" s="122">
        <v>134</v>
      </c>
      <c r="B141" s="70">
        <f>IF($D$1="SAC",-'Price x SAC x SACRE'!G140,IF('Base dinâmica'!$D$1="Price",-'Price x SAC x SACRE'!B140,IF('Base dinâmica'!$D$1="sacre",-'Price x SAC x SACRE'!L140,0)))</f>
        <v>-4100.9182743504389</v>
      </c>
      <c r="C141" s="70">
        <f>IF($D$1="SAC",-'Price x SAC x SACRE'!H140,IF('Base dinâmica'!$D$1="Price",-'Price x SAC x SACRE'!C140,IF('Base dinâmica'!$D$1="sacre",-'Price x SAC x SACRE'!M140,0)))</f>
        <v>-480.66243877386376</v>
      </c>
      <c r="D141" s="70">
        <f>IF($D$1="SAC",-'Price x SAC x SACRE'!I140,IF('Base dinâmica'!$D$1="Price",-'Price x SAC x SACRE'!D140,IF('Base dinâmica'!$D$1="sacre",-'Price x SAC x SACRE'!N140,0)))</f>
        <v>-3620.2558355765755</v>
      </c>
      <c r="E141" s="70">
        <f>IF($D$1="SAC",-'Price x SAC x SACRE'!J140,IF('Base dinâmica'!$D$1="Price",-'Price x SAC x SACRE'!E140,IF('Base dinâmica'!$D$1="sacre",-'Price x SAC x SACRE'!O140,0)))</f>
        <v>-381048.98633057787</v>
      </c>
      <c r="F141" s="70">
        <f>+F140</f>
        <v>17862.784256166949</v>
      </c>
      <c r="G141" s="70">
        <f>+G140</f>
        <v>-689.26676132088096</v>
      </c>
      <c r="H141" s="70">
        <f>+H140</f>
        <v>-408.25800478236806</v>
      </c>
      <c r="I141" s="70">
        <f t="shared" si="54"/>
        <v>16765.259490063701</v>
      </c>
      <c r="J141" s="123">
        <f t="shared" si="55"/>
        <v>4.0741237836483535E-3</v>
      </c>
      <c r="K141" s="123">
        <f>((+K140+1)*(J141+1))-1</f>
        <v>8.1648460519012644E-3</v>
      </c>
      <c r="L141" s="124">
        <f t="shared" si="53"/>
        <v>0.1075</v>
      </c>
      <c r="M141" s="125">
        <f>+Dashboard!$B$36</f>
        <v>1</v>
      </c>
      <c r="N141" s="160">
        <f t="shared" si="56"/>
        <v>8.5450710394860963E-3</v>
      </c>
      <c r="O141" s="70">
        <f t="shared" si="57"/>
        <v>2000248.8551035882</v>
      </c>
    </row>
    <row r="142" spans="1:15" outlineLevel="1" x14ac:dyDescent="0.25">
      <c r="A142" s="122">
        <v>135</v>
      </c>
      <c r="B142" s="70">
        <f>IF($D$1="SAC",-'Price x SAC x SACRE'!G141,IF('Base dinâmica'!$D$1="Price",-'Price x SAC x SACRE'!B141,IF('Base dinâmica'!$D$1="sacre",-'Price x SAC x SACRE'!L141,0)))</f>
        <v>-4100.9182743504398</v>
      </c>
      <c r="C142" s="70">
        <f>IF($D$1="SAC",-'Price x SAC x SACRE'!H141,IF('Base dinâmica'!$D$1="Price",-'Price x SAC x SACRE'!C141,IF('Base dinâmica'!$D$1="sacre",-'Price x SAC x SACRE'!M141,0)))</f>
        <v>-485.22334512682062</v>
      </c>
      <c r="D142" s="70">
        <f>IF($D$1="SAC",-'Price x SAC x SACRE'!I141,IF('Base dinâmica'!$D$1="Price",-'Price x SAC x SACRE'!D141,IF('Base dinâmica'!$D$1="sacre",-'Price x SAC x SACRE'!N141,0)))</f>
        <v>-3615.6949292236191</v>
      </c>
      <c r="E142" s="70">
        <f>IF($D$1="SAC",-'Price x SAC x SACRE'!J141,IF('Base dinâmica'!$D$1="Price",-'Price x SAC x SACRE'!E141,IF('Base dinâmica'!$D$1="sacre",-'Price x SAC x SACRE'!O141,0)))</f>
        <v>-380563.76298545103</v>
      </c>
      <c r="F142" s="70">
        <f t="shared" ref="F142:F150" si="58">+F141</f>
        <v>17862.784256166949</v>
      </c>
      <c r="G142" s="70">
        <f t="shared" ref="G142:G150" si="59">+G141</f>
        <v>-689.26676132088096</v>
      </c>
      <c r="H142" s="70">
        <f t="shared" ref="H142:H149" si="60">+H141</f>
        <v>-408.25800478236806</v>
      </c>
      <c r="I142" s="70">
        <f t="shared" si="54"/>
        <v>16765.259490063701</v>
      </c>
      <c r="J142" s="123">
        <f t="shared" si="55"/>
        <v>4.0741237836483535E-3</v>
      </c>
      <c r="K142" s="123">
        <f t="shared" ref="K142:K151" si="61">((+K141+1)*(J142+1))-1</f>
        <v>1.2272234429039575E-2</v>
      </c>
      <c r="L142" s="124">
        <f t="shared" si="53"/>
        <v>0.1075</v>
      </c>
      <c r="M142" s="125">
        <f>+Dashboard!$B$36</f>
        <v>1</v>
      </c>
      <c r="N142" s="160">
        <f t="shared" si="56"/>
        <v>8.5450710394860963E-3</v>
      </c>
      <c r="O142" s="70">
        <f t="shared" si="57"/>
        <v>2030005.4648828122</v>
      </c>
    </row>
    <row r="143" spans="1:15" outlineLevel="1" x14ac:dyDescent="0.25">
      <c r="A143" s="122">
        <v>136</v>
      </c>
      <c r="B143" s="70">
        <f>IF($D$1="SAC",-'Price x SAC x SACRE'!G142,IF('Base dinâmica'!$D$1="Price",-'Price x SAC x SACRE'!B142,IF('Base dinâmica'!$D$1="sacre",-'Price x SAC x SACRE'!L142,0)))</f>
        <v>-4100.9182743504398</v>
      </c>
      <c r="C143" s="70">
        <f>IF($D$1="SAC",-'Price x SAC x SACRE'!H142,IF('Base dinâmica'!$D$1="Price",-'Price x SAC x SACRE'!C142,IF('Base dinâmica'!$D$1="sacre",-'Price x SAC x SACRE'!M142,0)))</f>
        <v>-489.82752897575494</v>
      </c>
      <c r="D143" s="70">
        <f>IF($D$1="SAC",-'Price x SAC x SACRE'!I142,IF('Base dinâmica'!$D$1="Price",-'Price x SAC x SACRE'!D142,IF('Base dinâmica'!$D$1="sacre",-'Price x SAC x SACRE'!N142,0)))</f>
        <v>-3611.0907453746845</v>
      </c>
      <c r="E143" s="70">
        <f>IF($D$1="SAC",-'Price x SAC x SACRE'!J142,IF('Base dinâmica'!$D$1="Price",-'Price x SAC x SACRE'!E142,IF('Base dinâmica'!$D$1="sacre",-'Price x SAC x SACRE'!O142,0)))</f>
        <v>-380073.9354564753</v>
      </c>
      <c r="F143" s="70">
        <f t="shared" si="58"/>
        <v>17862.784256166949</v>
      </c>
      <c r="G143" s="70">
        <f t="shared" si="59"/>
        <v>-689.26676132088096</v>
      </c>
      <c r="H143" s="70">
        <f t="shared" si="60"/>
        <v>-408.25800478236806</v>
      </c>
      <c r="I143" s="70">
        <f t="shared" si="54"/>
        <v>16765.259490063701</v>
      </c>
      <c r="J143" s="123">
        <f t="shared" si="55"/>
        <v>4.0741237836483535E-3</v>
      </c>
      <c r="K143" s="123">
        <f t="shared" si="61"/>
        <v>1.6396356814853741E-2</v>
      </c>
      <c r="L143" s="124">
        <f t="shared" si="53"/>
        <v>0.1075</v>
      </c>
      <c r="M143" s="125">
        <f>+Dashboard!$B$36</f>
        <v>1</v>
      </c>
      <c r="N143" s="160">
        <f t="shared" si="56"/>
        <v>8.5450710394860963E-3</v>
      </c>
      <c r="O143" s="70">
        <f t="shared" si="57"/>
        <v>2060016.3470064939</v>
      </c>
    </row>
    <row r="144" spans="1:15" outlineLevel="1" x14ac:dyDescent="0.25">
      <c r="A144" s="122">
        <v>137</v>
      </c>
      <c r="B144" s="70">
        <f>IF($D$1="SAC",-'Price x SAC x SACRE'!G143,IF('Base dinâmica'!$D$1="Price",-'Price x SAC x SACRE'!B143,IF('Base dinâmica'!$D$1="sacre",-'Price x SAC x SACRE'!L143,0)))</f>
        <v>-4100.9182743504398</v>
      </c>
      <c r="C144" s="70">
        <f>IF($D$1="SAC",-'Price x SAC x SACRE'!H143,IF('Base dinâmica'!$D$1="Price",-'Price x SAC x SACRE'!C143,IF('Base dinâmica'!$D$1="sacre",-'Price x SAC x SACRE'!M143,0)))</f>
        <v>-494.4754009718643</v>
      </c>
      <c r="D144" s="70">
        <f>IF($D$1="SAC",-'Price x SAC x SACRE'!I143,IF('Base dinâmica'!$D$1="Price",-'Price x SAC x SACRE'!D143,IF('Base dinâmica'!$D$1="sacre",-'Price x SAC x SACRE'!N143,0)))</f>
        <v>-3606.4428733785753</v>
      </c>
      <c r="E144" s="70">
        <f>IF($D$1="SAC",-'Price x SAC x SACRE'!J143,IF('Base dinâmica'!$D$1="Price",-'Price x SAC x SACRE'!E143,IF('Base dinâmica'!$D$1="sacre",-'Price x SAC x SACRE'!O143,0)))</f>
        <v>-379579.46005550341</v>
      </c>
      <c r="F144" s="70">
        <f t="shared" si="58"/>
        <v>17862.784256166949</v>
      </c>
      <c r="G144" s="70">
        <f t="shared" si="59"/>
        <v>-689.26676132088096</v>
      </c>
      <c r="H144" s="70">
        <f t="shared" si="60"/>
        <v>-408.25800478236806</v>
      </c>
      <c r="I144" s="70">
        <f t="shared" si="54"/>
        <v>16765.259490063701</v>
      </c>
      <c r="J144" s="123">
        <f t="shared" si="55"/>
        <v>4.0741237836483535E-3</v>
      </c>
      <c r="K144" s="123">
        <f t="shared" si="61"/>
        <v>2.0537281385766715E-2</v>
      </c>
      <c r="L144" s="124">
        <f t="shared" si="53"/>
        <v>0.1075</v>
      </c>
      <c r="M144" s="125">
        <f>+Dashboard!$B$36</f>
        <v>1</v>
      </c>
      <c r="N144" s="160">
        <f t="shared" si="56"/>
        <v>8.5450710394860963E-3</v>
      </c>
      <c r="O144" s="70">
        <f t="shared" si="57"/>
        <v>2090283.6742498802</v>
      </c>
    </row>
    <row r="145" spans="1:15" outlineLevel="1" x14ac:dyDescent="0.25">
      <c r="A145" s="122">
        <v>138</v>
      </c>
      <c r="B145" s="70">
        <f>IF($D$1="SAC",-'Price x SAC x SACRE'!G144,IF('Base dinâmica'!$D$1="Price",-'Price x SAC x SACRE'!B144,IF('Base dinâmica'!$D$1="sacre",-'Price x SAC x SACRE'!L144,0)))</f>
        <v>-4100.9182743504398</v>
      </c>
      <c r="C145" s="70">
        <f>IF($D$1="SAC",-'Price x SAC x SACRE'!H144,IF('Base dinâmica'!$D$1="Price",-'Price x SAC x SACRE'!C144,IF('Base dinâmica'!$D$1="sacre",-'Price x SAC x SACRE'!M144,0)))</f>
        <v>-499.16737566293125</v>
      </c>
      <c r="D145" s="70">
        <f>IF($D$1="SAC",-'Price x SAC x SACRE'!I144,IF('Base dinâmica'!$D$1="Price",-'Price x SAC x SACRE'!D144,IF('Base dinâmica'!$D$1="sacre",-'Price x SAC x SACRE'!N144,0)))</f>
        <v>-3601.7508986875082</v>
      </c>
      <c r="E145" s="70">
        <f>IF($D$1="SAC",-'Price x SAC x SACRE'!J144,IF('Base dinâmica'!$D$1="Price",-'Price x SAC x SACRE'!E144,IF('Base dinâmica'!$D$1="sacre",-'Price x SAC x SACRE'!O144,0)))</f>
        <v>-379080.29267984047</v>
      </c>
      <c r="F145" s="70">
        <f t="shared" si="58"/>
        <v>17862.784256166949</v>
      </c>
      <c r="G145" s="70">
        <f t="shared" si="59"/>
        <v>-689.26676132088096</v>
      </c>
      <c r="H145" s="70">
        <f t="shared" si="60"/>
        <v>-408.25800478236806</v>
      </c>
      <c r="I145" s="70">
        <f t="shared" si="54"/>
        <v>16765.259490063701</v>
      </c>
      <c r="J145" s="123">
        <f t="shared" si="55"/>
        <v>4.0741237836483535E-3</v>
      </c>
      <c r="K145" s="123">
        <f t="shared" si="61"/>
        <v>2.4695076595960375E-2</v>
      </c>
      <c r="L145" s="124">
        <f t="shared" si="53"/>
        <v>0.1075</v>
      </c>
      <c r="M145" s="125">
        <f>+Dashboard!$B$36</f>
        <v>1</v>
      </c>
      <c r="N145" s="160">
        <f t="shared" si="56"/>
        <v>8.5450710394860963E-3</v>
      </c>
      <c r="O145" s="70">
        <f t="shared" si="57"/>
        <v>2120809.6379547371</v>
      </c>
    </row>
    <row r="146" spans="1:15" outlineLevel="1" x14ac:dyDescent="0.25">
      <c r="A146" s="122">
        <v>139</v>
      </c>
      <c r="B146" s="70">
        <f>IF($D$1="SAC",-'Price x SAC x SACRE'!G145,IF('Base dinâmica'!$D$1="Price",-'Price x SAC x SACRE'!B145,IF('Base dinâmica'!$D$1="sacre",-'Price x SAC x SACRE'!L145,0)))</f>
        <v>-4100.9182743504398</v>
      </c>
      <c r="C146" s="70">
        <f>IF($D$1="SAC",-'Price x SAC x SACRE'!H145,IF('Base dinâmica'!$D$1="Price",-'Price x SAC x SACRE'!C145,IF('Base dinâmica'!$D$1="sacre",-'Price x SAC x SACRE'!M145,0)))</f>
        <v>-503.90387153029593</v>
      </c>
      <c r="D146" s="70">
        <f>IF($D$1="SAC",-'Price x SAC x SACRE'!I145,IF('Base dinâmica'!$D$1="Price",-'Price x SAC x SACRE'!D145,IF('Base dinâmica'!$D$1="sacre",-'Price x SAC x SACRE'!N145,0)))</f>
        <v>-3597.0144028201435</v>
      </c>
      <c r="E146" s="70">
        <f>IF($D$1="SAC",-'Price x SAC x SACRE'!J145,IF('Base dinâmica'!$D$1="Price",-'Price x SAC x SACRE'!E145,IF('Base dinâmica'!$D$1="sacre",-'Price x SAC x SACRE'!O145,0)))</f>
        <v>-378576.38880831015</v>
      </c>
      <c r="F146" s="70">
        <f t="shared" si="58"/>
        <v>17862.784256166949</v>
      </c>
      <c r="G146" s="70">
        <f t="shared" si="59"/>
        <v>-689.26676132088096</v>
      </c>
      <c r="H146" s="70">
        <f t="shared" si="60"/>
        <v>-408.25800478236806</v>
      </c>
      <c r="I146" s="70">
        <f t="shared" si="54"/>
        <v>16765.259490063701</v>
      </c>
      <c r="J146" s="123">
        <f t="shared" si="55"/>
        <v>4.0741237836483535E-3</v>
      </c>
      <c r="K146" s="123">
        <f t="shared" si="61"/>
        <v>2.8869811178507288E-2</v>
      </c>
      <c r="L146" s="124">
        <f t="shared" si="53"/>
        <v>0.1075</v>
      </c>
      <c r="M146" s="125">
        <f>+Dashboard!$B$36</f>
        <v>1</v>
      </c>
      <c r="N146" s="160">
        <f t="shared" si="56"/>
        <v>8.5450710394860963E-3</v>
      </c>
      <c r="O146" s="70">
        <f t="shared" si="57"/>
        <v>2151596.4481880004</v>
      </c>
    </row>
    <row r="147" spans="1:15" outlineLevel="1" x14ac:dyDescent="0.25">
      <c r="A147" s="122">
        <v>140</v>
      </c>
      <c r="B147" s="70">
        <f>IF($D$1="SAC",-'Price x SAC x SACRE'!G146,IF('Base dinâmica'!$D$1="Price",-'Price x SAC x SACRE'!B146,IF('Base dinâmica'!$D$1="sacre",-'Price x SAC x SACRE'!L146,0)))</f>
        <v>-4100.9182743504389</v>
      </c>
      <c r="C147" s="70">
        <f>IF($D$1="SAC",-'Price x SAC x SACRE'!H146,IF('Base dinâmica'!$D$1="Price",-'Price x SAC x SACRE'!C146,IF('Base dinâmica'!$D$1="sacre",-'Price x SAC x SACRE'!M146,0)))</f>
        <v>-508.68531102618164</v>
      </c>
      <c r="D147" s="70">
        <f>IF($D$1="SAC",-'Price x SAC x SACRE'!I146,IF('Base dinâmica'!$D$1="Price",-'Price x SAC x SACRE'!D146,IF('Base dinâmica'!$D$1="sacre",-'Price x SAC x SACRE'!N146,0)))</f>
        <v>-3592.2329633242575</v>
      </c>
      <c r="E147" s="70">
        <f>IF($D$1="SAC",-'Price x SAC x SACRE'!J146,IF('Base dinâmica'!$D$1="Price",-'Price x SAC x SACRE'!E146,IF('Base dinâmica'!$D$1="sacre",-'Price x SAC x SACRE'!O146,0)))</f>
        <v>-378067.70349728398</v>
      </c>
      <c r="F147" s="70">
        <f t="shared" si="58"/>
        <v>17862.784256166949</v>
      </c>
      <c r="G147" s="70">
        <f t="shared" si="59"/>
        <v>-689.26676132088096</v>
      </c>
      <c r="H147" s="70">
        <f t="shared" si="60"/>
        <v>-408.25800478236806</v>
      </c>
      <c r="I147" s="70">
        <f t="shared" si="54"/>
        <v>16765.259490063701</v>
      </c>
      <c r="J147" s="123">
        <f t="shared" si="55"/>
        <v>4.0741237836483535E-3</v>
      </c>
      <c r="K147" s="123">
        <f t="shared" si="61"/>
        <v>3.3061554146507355E-2</v>
      </c>
      <c r="L147" s="124">
        <f t="shared" si="53"/>
        <v>0.1075</v>
      </c>
      <c r="M147" s="125">
        <f>+Dashboard!$B$36</f>
        <v>1</v>
      </c>
      <c r="N147" s="160">
        <f t="shared" si="56"/>
        <v>8.5450710394860963E-3</v>
      </c>
      <c r="O147" s="70">
        <f t="shared" si="57"/>
        <v>2182646.3339017862</v>
      </c>
    </row>
    <row r="148" spans="1:15" outlineLevel="1" x14ac:dyDescent="0.25">
      <c r="A148" s="122">
        <v>141</v>
      </c>
      <c r="B148" s="70">
        <f>IF($D$1="SAC",-'Price x SAC x SACRE'!G147,IF('Base dinâmica'!$D$1="Price",-'Price x SAC x SACRE'!B147,IF('Base dinâmica'!$D$1="sacre",-'Price x SAC x SACRE'!L147,0)))</f>
        <v>-4100.9182743504389</v>
      </c>
      <c r="C148" s="70">
        <f>IF($D$1="SAC",-'Price x SAC x SACRE'!H147,IF('Base dinâmica'!$D$1="Price",-'Price x SAC x SACRE'!C147,IF('Base dinâmica'!$D$1="sacre",-'Price x SAC x SACRE'!M147,0)))</f>
        <v>-513.51212061137301</v>
      </c>
      <c r="D148" s="70">
        <f>IF($D$1="SAC",-'Price x SAC x SACRE'!I147,IF('Base dinâmica'!$D$1="Price",-'Price x SAC x SACRE'!D147,IF('Base dinâmica'!$D$1="sacre",-'Price x SAC x SACRE'!N147,0)))</f>
        <v>-3587.4061537390662</v>
      </c>
      <c r="E148" s="70">
        <f>IF($D$1="SAC",-'Price x SAC x SACRE'!J147,IF('Base dinâmica'!$D$1="Price",-'Price x SAC x SACRE'!E147,IF('Base dinâmica'!$D$1="sacre",-'Price x SAC x SACRE'!O147,0)))</f>
        <v>-377554.19137667259</v>
      </c>
      <c r="F148" s="70">
        <f t="shared" si="58"/>
        <v>17862.784256166949</v>
      </c>
      <c r="G148" s="70">
        <f t="shared" si="59"/>
        <v>-689.26676132088096</v>
      </c>
      <c r="H148" s="70">
        <f t="shared" si="60"/>
        <v>-408.25800478236806</v>
      </c>
      <c r="I148" s="70">
        <f t="shared" si="54"/>
        <v>16765.259490063701</v>
      </c>
      <c r="J148" s="123">
        <f t="shared" si="55"/>
        <v>4.0741237836483535E-3</v>
      </c>
      <c r="K148" s="123">
        <f t="shared" si="61"/>
        <v>3.7270374794228456E-2</v>
      </c>
      <c r="L148" s="124">
        <f t="shared" si="53"/>
        <v>0.1075</v>
      </c>
      <c r="M148" s="125">
        <f>+Dashboard!$B$36</f>
        <v>1</v>
      </c>
      <c r="N148" s="160">
        <f t="shared" si="56"/>
        <v>8.5450710394860963E-3</v>
      </c>
      <c r="O148" s="70">
        <f t="shared" si="57"/>
        <v>2213961.5430947645</v>
      </c>
    </row>
    <row r="149" spans="1:15" outlineLevel="1" x14ac:dyDescent="0.25">
      <c r="A149" s="122">
        <v>142</v>
      </c>
      <c r="B149" s="70">
        <f>IF($D$1="SAC",-'Price x SAC x SACRE'!G148,IF('Base dinâmica'!$D$1="Price",-'Price x SAC x SACRE'!B148,IF('Base dinâmica'!$D$1="sacre",-'Price x SAC x SACRE'!L148,0)))</f>
        <v>-4100.9182743504389</v>
      </c>
      <c r="C149" s="70">
        <f>IF($D$1="SAC",-'Price x SAC x SACRE'!H148,IF('Base dinâmica'!$D$1="Price",-'Price x SAC x SACRE'!C148,IF('Base dinâmica'!$D$1="sacre",-'Price x SAC x SACRE'!M148,0)))</f>
        <v>-518.38473079325308</v>
      </c>
      <c r="D149" s="70">
        <f>IF($D$1="SAC",-'Price x SAC x SACRE'!I148,IF('Base dinâmica'!$D$1="Price",-'Price x SAC x SACRE'!D148,IF('Base dinâmica'!$D$1="sacre",-'Price x SAC x SACRE'!N148,0)))</f>
        <v>-3582.533543557186</v>
      </c>
      <c r="E149" s="70">
        <f>IF($D$1="SAC",-'Price x SAC x SACRE'!J148,IF('Base dinâmica'!$D$1="Price",-'Price x SAC x SACRE'!E148,IF('Base dinâmica'!$D$1="sacre",-'Price x SAC x SACRE'!O148,0)))</f>
        <v>-377035.80664587935</v>
      </c>
      <c r="F149" s="70">
        <f t="shared" si="58"/>
        <v>17862.784256166949</v>
      </c>
      <c r="G149" s="70">
        <f t="shared" si="59"/>
        <v>-689.26676132088096</v>
      </c>
      <c r="H149" s="70">
        <f t="shared" si="60"/>
        <v>-408.25800478236806</v>
      </c>
      <c r="I149" s="70">
        <f t="shared" si="54"/>
        <v>16765.259490063701</v>
      </c>
      <c r="J149" s="123">
        <f t="shared" si="55"/>
        <v>4.0741237836483535E-3</v>
      </c>
      <c r="K149" s="123">
        <f t="shared" si="61"/>
        <v>4.1496342698251532E-2</v>
      </c>
      <c r="L149" s="124">
        <f t="shared" si="53"/>
        <v>0.1075</v>
      </c>
      <c r="M149" s="125">
        <f>+Dashboard!$B$36</f>
        <v>1</v>
      </c>
      <c r="N149" s="160">
        <f t="shared" si="56"/>
        <v>8.5450710394860963E-3</v>
      </c>
      <c r="O149" s="70">
        <f t="shared" si="57"/>
        <v>2245544.3429749128</v>
      </c>
    </row>
    <row r="150" spans="1:15" outlineLevel="1" x14ac:dyDescent="0.25">
      <c r="A150" s="122">
        <v>143</v>
      </c>
      <c r="B150" s="70">
        <f>IF($D$1="SAC",-'Price x SAC x SACRE'!G149,IF('Base dinâmica'!$D$1="Price",-'Price x SAC x SACRE'!B149,IF('Base dinâmica'!$D$1="sacre",-'Price x SAC x SACRE'!L149,0)))</f>
        <v>-4100.9182743504389</v>
      </c>
      <c r="C150" s="70">
        <f>IF($D$1="SAC",-'Price x SAC x SACRE'!H149,IF('Base dinâmica'!$D$1="Price",-'Price x SAC x SACRE'!C149,IF('Base dinâmica'!$D$1="sacre",-'Price x SAC x SACRE'!M149,0)))</f>
        <v>-523.30357616419997</v>
      </c>
      <c r="D150" s="70">
        <f>IF($D$1="SAC",-'Price x SAC x SACRE'!I149,IF('Base dinâmica'!$D$1="Price",-'Price x SAC x SACRE'!D149,IF('Base dinâmica'!$D$1="sacre",-'Price x SAC x SACRE'!N149,0)))</f>
        <v>-3577.6146981862394</v>
      </c>
      <c r="E150" s="70">
        <f>IF($D$1="SAC",-'Price x SAC x SACRE'!J149,IF('Base dinâmica'!$D$1="Price",-'Price x SAC x SACRE'!E149,IF('Base dinâmica'!$D$1="sacre",-'Price x SAC x SACRE'!O149,0)))</f>
        <v>-376512.50306971517</v>
      </c>
      <c r="F150" s="70">
        <f t="shared" si="58"/>
        <v>17862.784256166949</v>
      </c>
      <c r="G150" s="70">
        <f t="shared" si="59"/>
        <v>-689.26676132088096</v>
      </c>
      <c r="H150" s="70">
        <v>0</v>
      </c>
      <c r="I150" s="70">
        <f t="shared" si="54"/>
        <v>17173.51749484607</v>
      </c>
      <c r="J150" s="123">
        <f t="shared" si="55"/>
        <v>4.0741237836483535E-3</v>
      </c>
      <c r="K150" s="123">
        <f t="shared" si="61"/>
        <v>4.573952771862122E-2</v>
      </c>
      <c r="L150" s="124">
        <f t="shared" si="53"/>
        <v>0.1075</v>
      </c>
      <c r="M150" s="125">
        <f>+Dashboard!$B$36</f>
        <v>1</v>
      </c>
      <c r="N150" s="160">
        <f t="shared" si="56"/>
        <v>8.5450710394860963E-3</v>
      </c>
      <c r="O150" s="70">
        <f t="shared" si="57"/>
        <v>2277805.2781284451</v>
      </c>
    </row>
    <row r="151" spans="1:15" s="53" customFormat="1" x14ac:dyDescent="0.25">
      <c r="A151" s="68">
        <v>144</v>
      </c>
      <c r="B151" s="64">
        <f>IF($D$1="SAC",-'Price x SAC x SACRE'!G150,IF('Base dinâmica'!$D$1="Price",-'Price x SAC x SACRE'!B150,IF('Base dinâmica'!$D$1="sacre",-'Price x SAC x SACRE'!L150,0)))</f>
        <v>-4100.9182743504389</v>
      </c>
      <c r="C151" s="64">
        <f>IF($D$1="SAC",-'Price x SAC x SACRE'!H150,IF('Base dinâmica'!$D$1="Price",-'Price x SAC x SACRE'!C150,IF('Base dinâmica'!$D$1="sacre",-'Price x SAC x SACRE'!M150,0)))</f>
        <v>-528.26909544034879</v>
      </c>
      <c r="D151" s="64">
        <f>IF($D$1="SAC",-'Price x SAC x SACRE'!I150,IF('Base dinâmica'!$D$1="Price",-'Price x SAC x SACRE'!D150,IF('Base dinâmica'!$D$1="sacre",-'Price x SAC x SACRE'!N150,0)))</f>
        <v>-3572.6491789100905</v>
      </c>
      <c r="E151" s="64">
        <f>IF($D$1="SAC",-'Price x SAC x SACRE'!J150,IF('Base dinâmica'!$D$1="Price",-'Price x SAC x SACRE'!E150,IF('Base dinâmica'!$D$1="sacre",-'Price x SAC x SACRE'!O150,0)))</f>
        <v>-375984.23397427483</v>
      </c>
      <c r="F151" s="64">
        <f>+F150</f>
        <v>17862.784256166949</v>
      </c>
      <c r="G151" s="64">
        <f>+G150</f>
        <v>-689.26676132088096</v>
      </c>
      <c r="H151" s="64">
        <v>0</v>
      </c>
      <c r="I151" s="64">
        <f t="shared" si="54"/>
        <v>17173.51749484607</v>
      </c>
      <c r="J151" s="119">
        <f t="shared" si="55"/>
        <v>4.0741237836483535E-3</v>
      </c>
      <c r="K151" s="119">
        <f t="shared" si="61"/>
        <v>5.0000000000000933E-2</v>
      </c>
      <c r="L151" s="120">
        <f t="shared" si="53"/>
        <v>0.1075</v>
      </c>
      <c r="M151" s="121">
        <f>+Dashboard!$B$36</f>
        <v>1</v>
      </c>
      <c r="N151" s="160">
        <f t="shared" si="56"/>
        <v>8.5450710394860963E-3</v>
      </c>
      <c r="O151" s="64">
        <f t="shared" si="57"/>
        <v>2310341.8852646649</v>
      </c>
    </row>
    <row r="152" spans="1:15" outlineLevel="1" x14ac:dyDescent="0.25">
      <c r="A152" s="122">
        <v>145</v>
      </c>
      <c r="B152" s="70">
        <f>IF($D$1="SAC",-'Price x SAC x SACRE'!G151,IF('Base dinâmica'!$D$1="Price",-'Price x SAC x SACRE'!B151,IF('Base dinâmica'!$D$1="sacre",-'Price x SAC x SACRE'!L151,0)))</f>
        <v>-4100.9182743504398</v>
      </c>
      <c r="C152" s="70">
        <f>IF($D$1="SAC",-'Price x SAC x SACRE'!H151,IF('Base dinâmica'!$D$1="Price",-'Price x SAC x SACRE'!C151,IF('Base dinâmica'!$D$1="sacre",-'Price x SAC x SACRE'!M151,0)))</f>
        <v>-533.28173150072178</v>
      </c>
      <c r="D152" s="70">
        <f>IF($D$1="SAC",-'Price x SAC x SACRE'!I151,IF('Base dinâmica'!$D$1="Price",-'Price x SAC x SACRE'!D151,IF('Base dinâmica'!$D$1="sacre",-'Price x SAC x SACRE'!N151,0)))</f>
        <v>-3567.6365428497179</v>
      </c>
      <c r="E152" s="70">
        <f>IF($D$1="SAC",-'Price x SAC x SACRE'!J151,IF('Base dinâmica'!$D$1="Price",-'Price x SAC x SACRE'!E151,IF('Base dinâmica'!$D$1="sacre",-'Price x SAC x SACRE'!O151,0)))</f>
        <v>-375450.95224277413</v>
      </c>
      <c r="F152" s="70">
        <f>+F151*(1+K151)</f>
        <v>18755.923468975314</v>
      </c>
      <c r="G152" s="70">
        <f>+G151*(1+K151)</f>
        <v>-723.73009938692564</v>
      </c>
      <c r="H152" s="70">
        <f>+H149*(1+K151)</f>
        <v>-428.67090502148682</v>
      </c>
      <c r="I152" s="70">
        <f t="shared" si="54"/>
        <v>17603.5224645669</v>
      </c>
      <c r="J152" s="123">
        <f t="shared" si="55"/>
        <v>4.0741237836483535E-3</v>
      </c>
      <c r="K152" s="123">
        <f>+J152</f>
        <v>4.0741237836483535E-3</v>
      </c>
      <c r="L152" s="124">
        <f t="shared" si="53"/>
        <v>0.1075</v>
      </c>
      <c r="M152" s="125">
        <f>+Dashboard!$B$36</f>
        <v>1</v>
      </c>
      <c r="N152" s="160">
        <f t="shared" si="56"/>
        <v>8.5450710394860963E-3</v>
      </c>
      <c r="O152" s="70">
        <f t="shared" si="57"/>
        <v>2343586.5249899682</v>
      </c>
    </row>
    <row r="153" spans="1:15" outlineLevel="1" x14ac:dyDescent="0.25">
      <c r="A153" s="122">
        <v>146</v>
      </c>
      <c r="B153" s="70">
        <f>IF($D$1="SAC",-'Price x SAC x SACRE'!G152,IF('Base dinâmica'!$D$1="Price",-'Price x SAC x SACRE'!B152,IF('Base dinâmica'!$D$1="sacre",-'Price x SAC x SACRE'!L152,0)))</f>
        <v>-4100.9182743504398</v>
      </c>
      <c r="C153" s="70">
        <f>IF($D$1="SAC",-'Price x SAC x SACRE'!H152,IF('Base dinâmica'!$D$1="Price",-'Price x SAC x SACRE'!C152,IF('Base dinâmica'!$D$1="sacre",-'Price x SAC x SACRE'!M152,0)))</f>
        <v>-538.34193142672802</v>
      </c>
      <c r="D153" s="70">
        <f>IF($D$1="SAC",-'Price x SAC x SACRE'!I152,IF('Base dinâmica'!$D$1="Price",-'Price x SAC x SACRE'!D152,IF('Base dinâmica'!$D$1="sacre",-'Price x SAC x SACRE'!N152,0)))</f>
        <v>-3562.5763429237118</v>
      </c>
      <c r="E153" s="70">
        <f>IF($D$1="SAC",-'Price x SAC x SACRE'!J152,IF('Base dinâmica'!$D$1="Price",-'Price x SAC x SACRE'!E152,IF('Base dinâmica'!$D$1="sacre",-'Price x SAC x SACRE'!O152,0)))</f>
        <v>-374912.61031134741</v>
      </c>
      <c r="F153" s="70">
        <f>+F152</f>
        <v>18755.923468975314</v>
      </c>
      <c r="G153" s="70">
        <f>+G152</f>
        <v>-723.73009938692564</v>
      </c>
      <c r="H153" s="70">
        <f>+H152</f>
        <v>-428.67090502148682</v>
      </c>
      <c r="I153" s="70">
        <f t="shared" si="54"/>
        <v>17603.5224645669</v>
      </c>
      <c r="J153" s="123">
        <f t="shared" si="55"/>
        <v>4.0741237836483535E-3</v>
      </c>
      <c r="K153" s="123">
        <f>((+K152+1)*(J153+1))-1</f>
        <v>8.1648460519012644E-3</v>
      </c>
      <c r="L153" s="124">
        <f t="shared" si="53"/>
        <v>0.1075</v>
      </c>
      <c r="M153" s="125">
        <f>+Dashboard!$B$36</f>
        <v>1</v>
      </c>
      <c r="N153" s="160">
        <f t="shared" si="56"/>
        <v>8.5450710394860963E-3</v>
      </c>
      <c r="O153" s="70">
        <f t="shared" si="57"/>
        <v>2377115.2425234062</v>
      </c>
    </row>
    <row r="154" spans="1:15" outlineLevel="1" x14ac:dyDescent="0.25">
      <c r="A154" s="122">
        <v>147</v>
      </c>
      <c r="B154" s="70">
        <f>IF($D$1="SAC",-'Price x SAC x SACRE'!G153,IF('Base dinâmica'!$D$1="Price",-'Price x SAC x SACRE'!B153,IF('Base dinâmica'!$D$1="sacre",-'Price x SAC x SACRE'!L153,0)))</f>
        <v>-4100.9182743504398</v>
      </c>
      <c r="C154" s="70">
        <f>IF($D$1="SAC",-'Price x SAC x SACRE'!H153,IF('Base dinâmica'!$D$1="Price",-'Price x SAC x SACRE'!C153,IF('Base dinâmica'!$D$1="sacre",-'Price x SAC x SACRE'!M153,0)))</f>
        <v>-543.45014654203953</v>
      </c>
      <c r="D154" s="70">
        <f>IF($D$1="SAC",-'Price x SAC x SACRE'!I153,IF('Base dinâmica'!$D$1="Price",-'Price x SAC x SACRE'!D153,IF('Base dinâmica'!$D$1="sacre",-'Price x SAC x SACRE'!N153,0)))</f>
        <v>-3557.4681278083999</v>
      </c>
      <c r="E154" s="70">
        <f>IF($D$1="SAC",-'Price x SAC x SACRE'!J153,IF('Base dinâmica'!$D$1="Price",-'Price x SAC x SACRE'!E153,IF('Base dinâmica'!$D$1="sacre",-'Price x SAC x SACRE'!O153,0)))</f>
        <v>-374369.16016480536</v>
      </c>
      <c r="F154" s="70">
        <f t="shared" ref="F154:F162" si="62">+F153</f>
        <v>18755.923468975314</v>
      </c>
      <c r="G154" s="70">
        <f t="shared" ref="G154:G162" si="63">+G153</f>
        <v>-723.73009938692564</v>
      </c>
      <c r="H154" s="70">
        <f t="shared" ref="H154:H161" si="64">+H153</f>
        <v>-428.67090502148682</v>
      </c>
      <c r="I154" s="70">
        <f t="shared" si="54"/>
        <v>17603.5224645669</v>
      </c>
      <c r="J154" s="123">
        <f t="shared" si="55"/>
        <v>4.0741237836483535E-3</v>
      </c>
      <c r="K154" s="123">
        <f t="shared" ref="K154:K163" si="65">((+K153+1)*(J154+1))-1</f>
        <v>1.2272234429039575E-2</v>
      </c>
      <c r="L154" s="124">
        <f t="shared" si="53"/>
        <v>0.1075</v>
      </c>
      <c r="M154" s="125">
        <f>+Dashboard!$B$36</f>
        <v>1</v>
      </c>
      <c r="N154" s="160">
        <f t="shared" si="56"/>
        <v>8.5450710394860963E-3</v>
      </c>
      <c r="O154" s="70">
        <f t="shared" si="57"/>
        <v>2410930.4653300303</v>
      </c>
    </row>
    <row r="155" spans="1:15" outlineLevel="1" x14ac:dyDescent="0.25">
      <c r="A155" s="122">
        <v>148</v>
      </c>
      <c r="B155" s="70">
        <f>IF($D$1="SAC",-'Price x SAC x SACRE'!G154,IF('Base dinâmica'!$D$1="Price",-'Price x SAC x SACRE'!B154,IF('Base dinâmica'!$D$1="sacre",-'Price x SAC x SACRE'!L154,0)))</f>
        <v>-4100.9182743504398</v>
      </c>
      <c r="C155" s="70">
        <f>IF($D$1="SAC",-'Price x SAC x SACRE'!H154,IF('Base dinâmica'!$D$1="Price",-'Price x SAC x SACRE'!C154,IF('Base dinâmica'!$D$1="sacre",-'Price x SAC x SACRE'!M154,0)))</f>
        <v>-548.60683245284588</v>
      </c>
      <c r="D155" s="70">
        <f>IF($D$1="SAC",-'Price x SAC x SACRE'!I154,IF('Base dinâmica'!$D$1="Price",-'Price x SAC x SACRE'!D154,IF('Base dinâmica'!$D$1="sacre",-'Price x SAC x SACRE'!N154,0)))</f>
        <v>-3552.3114418975938</v>
      </c>
      <c r="E155" s="70">
        <f>IF($D$1="SAC",-'Price x SAC x SACRE'!J154,IF('Base dinâmica'!$D$1="Price",-'Price x SAC x SACRE'!E154,IF('Base dinâmica'!$D$1="sacre",-'Price x SAC x SACRE'!O154,0)))</f>
        <v>-373820.55333235255</v>
      </c>
      <c r="F155" s="70">
        <f t="shared" si="62"/>
        <v>18755.923468975314</v>
      </c>
      <c r="G155" s="70">
        <f t="shared" si="63"/>
        <v>-723.73009938692564</v>
      </c>
      <c r="H155" s="70">
        <f t="shared" si="64"/>
        <v>-428.67090502148682</v>
      </c>
      <c r="I155" s="70">
        <f t="shared" si="54"/>
        <v>17603.5224645669</v>
      </c>
      <c r="J155" s="123">
        <f t="shared" si="55"/>
        <v>4.0741237836483535E-3</v>
      </c>
      <c r="K155" s="123">
        <f t="shared" si="65"/>
        <v>1.6396356814853741E-2</v>
      </c>
      <c r="L155" s="124">
        <f t="shared" si="53"/>
        <v>0.1075</v>
      </c>
      <c r="M155" s="125">
        <f>+Dashboard!$B$36</f>
        <v>1</v>
      </c>
      <c r="N155" s="160">
        <f t="shared" si="56"/>
        <v>8.5450710394860963E-3</v>
      </c>
      <c r="O155" s="70">
        <f t="shared" si="57"/>
        <v>2445034.6416177531</v>
      </c>
    </row>
    <row r="156" spans="1:15" outlineLevel="1" x14ac:dyDescent="0.25">
      <c r="A156" s="122">
        <v>149</v>
      </c>
      <c r="B156" s="70">
        <f>IF($D$1="SAC",-'Price x SAC x SACRE'!G155,IF('Base dinâmica'!$D$1="Price",-'Price x SAC x SACRE'!B155,IF('Base dinâmica'!$D$1="sacre",-'Price x SAC x SACRE'!L155,0)))</f>
        <v>-4100.9182743504398</v>
      </c>
      <c r="C156" s="70">
        <f>IF($D$1="SAC",-'Price x SAC x SACRE'!H155,IF('Base dinâmica'!$D$1="Price",-'Price x SAC x SACRE'!C155,IF('Base dinâmica'!$D$1="sacre",-'Price x SAC x SACRE'!M155,0)))</f>
        <v>-553.81244908848851</v>
      </c>
      <c r="D156" s="70">
        <f>IF($D$1="SAC",-'Price x SAC x SACRE'!I155,IF('Base dinâmica'!$D$1="Price",-'Price x SAC x SACRE'!D155,IF('Base dinâmica'!$D$1="sacre",-'Price x SAC x SACRE'!N155,0)))</f>
        <v>-3547.1058252619514</v>
      </c>
      <c r="E156" s="70">
        <f>IF($D$1="SAC",-'Price x SAC x SACRE'!J155,IF('Base dinâmica'!$D$1="Price",-'Price x SAC x SACRE'!E155,IF('Base dinâmica'!$D$1="sacre",-'Price x SAC x SACRE'!O155,0)))</f>
        <v>-373266.74088326405</v>
      </c>
      <c r="F156" s="70">
        <f t="shared" si="62"/>
        <v>18755.923468975314</v>
      </c>
      <c r="G156" s="70">
        <f t="shared" si="63"/>
        <v>-723.73009938692564</v>
      </c>
      <c r="H156" s="70">
        <f t="shared" si="64"/>
        <v>-428.67090502148682</v>
      </c>
      <c r="I156" s="70">
        <f t="shared" si="54"/>
        <v>17603.5224645669</v>
      </c>
      <c r="J156" s="123">
        <f t="shared" si="55"/>
        <v>4.0741237836483535E-3</v>
      </c>
      <c r="K156" s="123">
        <f t="shared" si="65"/>
        <v>2.0537281385766715E-2</v>
      </c>
      <c r="L156" s="124">
        <f t="shared" si="53"/>
        <v>0.1075</v>
      </c>
      <c r="M156" s="125">
        <f>+Dashboard!$B$36</f>
        <v>1</v>
      </c>
      <c r="N156" s="160">
        <f t="shared" si="56"/>
        <v>8.5450710394860963E-3</v>
      </c>
      <c r="O156" s="70">
        <f t="shared" si="57"/>
        <v>2479430.2405145974</v>
      </c>
    </row>
    <row r="157" spans="1:15" outlineLevel="1" x14ac:dyDescent="0.25">
      <c r="A157" s="122">
        <v>150</v>
      </c>
      <c r="B157" s="70">
        <f>IF($D$1="SAC",-'Price x SAC x SACRE'!G156,IF('Base dinâmica'!$D$1="Price",-'Price x SAC x SACRE'!B156,IF('Base dinâmica'!$D$1="sacre",-'Price x SAC x SACRE'!L156,0)))</f>
        <v>-4100.9182743504398</v>
      </c>
      <c r="C157" s="70">
        <f>IF($D$1="SAC",-'Price x SAC x SACRE'!H156,IF('Base dinâmica'!$D$1="Price",-'Price x SAC x SACRE'!C156,IF('Base dinâmica'!$D$1="sacre",-'Price x SAC x SACRE'!M156,0)))</f>
        <v>-559.06746074248338</v>
      </c>
      <c r="D157" s="70">
        <f>IF($D$1="SAC",-'Price x SAC x SACRE'!I156,IF('Base dinâmica'!$D$1="Price",-'Price x SAC x SACRE'!D156,IF('Base dinâmica'!$D$1="sacre",-'Price x SAC x SACRE'!N156,0)))</f>
        <v>-3541.8508136079563</v>
      </c>
      <c r="E157" s="70">
        <f>IF($D$1="SAC",-'Price x SAC x SACRE'!J156,IF('Base dinâmica'!$D$1="Price",-'Price x SAC x SACRE'!E156,IF('Base dinâmica'!$D$1="sacre",-'Price x SAC x SACRE'!O156,0)))</f>
        <v>-372707.67342252156</v>
      </c>
      <c r="F157" s="70">
        <f t="shared" si="62"/>
        <v>18755.923468975314</v>
      </c>
      <c r="G157" s="70">
        <f t="shared" si="63"/>
        <v>-723.73009938692564</v>
      </c>
      <c r="H157" s="70">
        <f t="shared" si="64"/>
        <v>-428.67090502148682</v>
      </c>
      <c r="I157" s="70">
        <f t="shared" si="54"/>
        <v>17603.5224645669</v>
      </c>
      <c r="J157" s="123">
        <f t="shared" si="55"/>
        <v>4.0741237836483535E-3</v>
      </c>
      <c r="K157" s="123">
        <f t="shared" si="65"/>
        <v>2.4695076595960375E-2</v>
      </c>
      <c r="L157" s="124">
        <f t="shared" si="53"/>
        <v>0.1075</v>
      </c>
      <c r="M157" s="125">
        <f>+Dashboard!$B$36</f>
        <v>1</v>
      </c>
      <c r="N157" s="160">
        <f t="shared" si="56"/>
        <v>8.5450710394860963E-3</v>
      </c>
      <c r="O157" s="70">
        <f t="shared" si="57"/>
        <v>2514119.7522474611</v>
      </c>
    </row>
    <row r="158" spans="1:15" outlineLevel="1" x14ac:dyDescent="0.25">
      <c r="A158" s="122">
        <v>151</v>
      </c>
      <c r="B158" s="70">
        <f>IF($D$1="SAC",-'Price x SAC x SACRE'!G157,IF('Base dinâmica'!$D$1="Price",-'Price x SAC x SACRE'!B157,IF('Base dinâmica'!$D$1="sacre",-'Price x SAC x SACRE'!L157,0)))</f>
        <v>-4100.9182743504398</v>
      </c>
      <c r="C158" s="70">
        <f>IF($D$1="SAC",-'Price x SAC x SACRE'!H157,IF('Base dinâmica'!$D$1="Price",-'Price x SAC x SACRE'!C157,IF('Base dinâmica'!$D$1="sacre",-'Price x SAC x SACRE'!M157,0)))</f>
        <v>-564.37233611393208</v>
      </c>
      <c r="D158" s="70">
        <f>IF($D$1="SAC",-'Price x SAC x SACRE'!I157,IF('Base dinâmica'!$D$1="Price",-'Price x SAC x SACRE'!D157,IF('Base dinâmica'!$D$1="sacre",-'Price x SAC x SACRE'!N157,0)))</f>
        <v>-3536.5459382365079</v>
      </c>
      <c r="E158" s="70">
        <f>IF($D$1="SAC",-'Price x SAC x SACRE'!J157,IF('Base dinâmica'!$D$1="Price",-'Price x SAC x SACRE'!E157,IF('Base dinâmica'!$D$1="sacre",-'Price x SAC x SACRE'!O157,0)))</f>
        <v>-372143.30108640762</v>
      </c>
      <c r="F158" s="70">
        <f t="shared" si="62"/>
        <v>18755.923468975314</v>
      </c>
      <c r="G158" s="70">
        <f t="shared" si="63"/>
        <v>-723.73009938692564</v>
      </c>
      <c r="H158" s="70">
        <f t="shared" si="64"/>
        <v>-428.67090502148682</v>
      </c>
      <c r="I158" s="70">
        <f t="shared" si="54"/>
        <v>17603.5224645669</v>
      </c>
      <c r="J158" s="123">
        <f t="shared" si="55"/>
        <v>4.0741237836483535E-3</v>
      </c>
      <c r="K158" s="123">
        <f t="shared" si="65"/>
        <v>2.8869811178507288E-2</v>
      </c>
      <c r="L158" s="124">
        <f t="shared" si="53"/>
        <v>0.1075</v>
      </c>
      <c r="M158" s="125">
        <f>+Dashboard!$B$36</f>
        <v>1</v>
      </c>
      <c r="N158" s="160">
        <f t="shared" si="56"/>
        <v>8.5450710394860963E-3</v>
      </c>
      <c r="O158" s="70">
        <f t="shared" si="57"/>
        <v>2549105.6883224072</v>
      </c>
    </row>
    <row r="159" spans="1:15" outlineLevel="1" x14ac:dyDescent="0.25">
      <c r="A159" s="122">
        <v>152</v>
      </c>
      <c r="B159" s="70">
        <f>IF($D$1="SAC",-'Price x SAC x SACRE'!G158,IF('Base dinâmica'!$D$1="Price",-'Price x SAC x SACRE'!B158,IF('Base dinâmica'!$D$1="sacre",-'Price x SAC x SACRE'!L158,0)))</f>
        <v>-4100.9182743504398</v>
      </c>
      <c r="C159" s="70">
        <f>IF($D$1="SAC",-'Price x SAC x SACRE'!H158,IF('Base dinâmica'!$D$1="Price",-'Price x SAC x SACRE'!C158,IF('Base dinâmica'!$D$1="sacre",-'Price x SAC x SACRE'!M158,0)))</f>
        <v>-569.72754834932402</v>
      </c>
      <c r="D159" s="70">
        <f>IF($D$1="SAC",-'Price x SAC x SACRE'!I158,IF('Base dinâmica'!$D$1="Price",-'Price x SAC x SACRE'!D158,IF('Base dinâmica'!$D$1="sacre",-'Price x SAC x SACRE'!N158,0)))</f>
        <v>-3531.1907260011158</v>
      </c>
      <c r="E159" s="70">
        <f>IF($D$1="SAC",-'Price x SAC x SACRE'!J158,IF('Base dinâmica'!$D$1="Price",-'Price x SAC x SACRE'!E158,IF('Base dinâmica'!$D$1="sacre",-'Price x SAC x SACRE'!O158,0)))</f>
        <v>-371573.57353805832</v>
      </c>
      <c r="F159" s="70">
        <f t="shared" si="62"/>
        <v>18755.923468975314</v>
      </c>
      <c r="G159" s="70">
        <f t="shared" si="63"/>
        <v>-723.73009938692564</v>
      </c>
      <c r="H159" s="70">
        <f t="shared" si="64"/>
        <v>-428.67090502148682</v>
      </c>
      <c r="I159" s="70">
        <f t="shared" si="54"/>
        <v>17603.5224645669</v>
      </c>
      <c r="J159" s="123">
        <f t="shared" si="55"/>
        <v>4.0741237836483535E-3</v>
      </c>
      <c r="K159" s="123">
        <f t="shared" si="65"/>
        <v>3.3061554146507355E-2</v>
      </c>
      <c r="L159" s="124">
        <f t="shared" si="53"/>
        <v>0.1075</v>
      </c>
      <c r="M159" s="125">
        <f>+Dashboard!$B$36</f>
        <v>1</v>
      </c>
      <c r="N159" s="160">
        <f t="shared" si="56"/>
        <v>8.5450710394860963E-3</v>
      </c>
      <c r="O159" s="70">
        <f t="shared" si="57"/>
        <v>2584390.5817064969</v>
      </c>
    </row>
    <row r="160" spans="1:15" outlineLevel="1" x14ac:dyDescent="0.25">
      <c r="A160" s="122">
        <v>153</v>
      </c>
      <c r="B160" s="70">
        <f>IF($D$1="SAC",-'Price x SAC x SACRE'!G159,IF('Base dinâmica'!$D$1="Price",-'Price x SAC x SACRE'!B159,IF('Base dinâmica'!$D$1="sacre",-'Price x SAC x SACRE'!L159,0)))</f>
        <v>-4100.9182743504398</v>
      </c>
      <c r="C160" s="70">
        <f>IF($D$1="SAC",-'Price x SAC x SACRE'!H159,IF('Base dinâmica'!$D$1="Price",-'Price x SAC x SACRE'!C159,IF('Base dinâmica'!$D$1="sacre",-'Price x SAC x SACRE'!M159,0)))</f>
        <v>-575.13357508473837</v>
      </c>
      <c r="D160" s="70">
        <f>IF($D$1="SAC",-'Price x SAC x SACRE'!I159,IF('Base dinâmica'!$D$1="Price",-'Price x SAC x SACRE'!D159,IF('Base dinâmica'!$D$1="sacre",-'Price x SAC x SACRE'!N159,0)))</f>
        <v>-3525.7846992657014</v>
      </c>
      <c r="E160" s="70">
        <f>IF($D$1="SAC",-'Price x SAC x SACRE'!J159,IF('Base dinâmica'!$D$1="Price",-'Price x SAC x SACRE'!E159,IF('Base dinâmica'!$D$1="sacre",-'Price x SAC x SACRE'!O159,0)))</f>
        <v>-370998.43996297359</v>
      </c>
      <c r="F160" s="70">
        <f t="shared" si="62"/>
        <v>18755.923468975314</v>
      </c>
      <c r="G160" s="70">
        <f t="shared" si="63"/>
        <v>-723.73009938692564</v>
      </c>
      <c r="H160" s="70">
        <f t="shared" si="64"/>
        <v>-428.67090502148682</v>
      </c>
      <c r="I160" s="70">
        <f t="shared" si="54"/>
        <v>17603.5224645669</v>
      </c>
      <c r="J160" s="123">
        <f t="shared" si="55"/>
        <v>4.0741237836483535E-3</v>
      </c>
      <c r="K160" s="123">
        <f t="shared" si="65"/>
        <v>3.7270374794228456E-2</v>
      </c>
      <c r="L160" s="124">
        <f t="shared" si="53"/>
        <v>0.1075</v>
      </c>
      <c r="M160" s="125">
        <f>+Dashboard!$B$36</f>
        <v>1</v>
      </c>
      <c r="N160" s="160">
        <f t="shared" si="56"/>
        <v>8.5450710394860963E-3</v>
      </c>
      <c r="O160" s="70">
        <f t="shared" si="57"/>
        <v>2619976.9870111742</v>
      </c>
    </row>
    <row r="161" spans="1:15" outlineLevel="1" x14ac:dyDescent="0.25">
      <c r="A161" s="122">
        <v>154</v>
      </c>
      <c r="B161" s="70">
        <f>IF($D$1="SAC",-'Price x SAC x SACRE'!G160,IF('Base dinâmica'!$D$1="Price",-'Price x SAC x SACRE'!B160,IF('Base dinâmica'!$D$1="sacre",-'Price x SAC x SACRE'!L160,0)))</f>
        <v>-4100.9182743504398</v>
      </c>
      <c r="C161" s="70">
        <f>IF($D$1="SAC",-'Price x SAC x SACRE'!H160,IF('Base dinâmica'!$D$1="Price",-'Price x SAC x SACRE'!C160,IF('Base dinâmica'!$D$1="sacre",-'Price x SAC x SACRE'!M160,0)))</f>
        <v>-580.59089848844394</v>
      </c>
      <c r="D161" s="70">
        <f>IF($D$1="SAC",-'Price x SAC x SACRE'!I160,IF('Base dinâmica'!$D$1="Price",-'Price x SAC x SACRE'!D160,IF('Base dinâmica'!$D$1="sacre",-'Price x SAC x SACRE'!N160,0)))</f>
        <v>-3520.3273758619962</v>
      </c>
      <c r="E161" s="70">
        <f>IF($D$1="SAC",-'Price x SAC x SACRE'!J160,IF('Base dinâmica'!$D$1="Price",-'Price x SAC x SACRE'!E160,IF('Base dinâmica'!$D$1="sacre",-'Price x SAC x SACRE'!O160,0)))</f>
        <v>-370417.84906448517</v>
      </c>
      <c r="F161" s="70">
        <f t="shared" si="62"/>
        <v>18755.923468975314</v>
      </c>
      <c r="G161" s="70">
        <f t="shared" si="63"/>
        <v>-723.73009938692564</v>
      </c>
      <c r="H161" s="70">
        <f t="shared" si="64"/>
        <v>-428.67090502148682</v>
      </c>
      <c r="I161" s="70">
        <f t="shared" si="54"/>
        <v>17603.5224645669</v>
      </c>
      <c r="J161" s="123">
        <f t="shared" si="55"/>
        <v>4.0741237836483535E-3</v>
      </c>
      <c r="K161" s="123">
        <f t="shared" si="65"/>
        <v>4.1496342698251532E-2</v>
      </c>
      <c r="L161" s="124">
        <f t="shared" si="53"/>
        <v>0.1075</v>
      </c>
      <c r="M161" s="125">
        <f>+Dashboard!$B$36</f>
        <v>1</v>
      </c>
      <c r="N161" s="160">
        <f t="shared" si="56"/>
        <v>8.5450710394860963E-3</v>
      </c>
      <c r="O161" s="70">
        <f t="shared" si="57"/>
        <v>2655867.48067722</v>
      </c>
    </row>
    <row r="162" spans="1:15" outlineLevel="1" x14ac:dyDescent="0.25">
      <c r="A162" s="122">
        <v>155</v>
      </c>
      <c r="B162" s="70">
        <f>IF($D$1="SAC",-'Price x SAC x SACRE'!G161,IF('Base dinâmica'!$D$1="Price",-'Price x SAC x SACRE'!B161,IF('Base dinâmica'!$D$1="sacre",-'Price x SAC x SACRE'!L161,0)))</f>
        <v>-4100.9182743504407</v>
      </c>
      <c r="C162" s="70">
        <f>IF($D$1="SAC",-'Price x SAC x SACRE'!H161,IF('Base dinâmica'!$D$1="Price",-'Price x SAC x SACRE'!C161,IF('Base dinâmica'!$D$1="sacre",-'Price x SAC x SACRE'!M161,0)))</f>
        <v>-586.10000530390437</v>
      </c>
      <c r="D162" s="70">
        <f>IF($D$1="SAC",-'Price x SAC x SACRE'!I161,IF('Base dinâmica'!$D$1="Price",-'Price x SAC x SACRE'!D161,IF('Base dinâmica'!$D$1="sacre",-'Price x SAC x SACRE'!N161,0)))</f>
        <v>-3514.818269046536</v>
      </c>
      <c r="E162" s="70">
        <f>IF($D$1="SAC",-'Price x SAC x SACRE'!J161,IF('Base dinâmica'!$D$1="Price",-'Price x SAC x SACRE'!E161,IF('Base dinâmica'!$D$1="sacre",-'Price x SAC x SACRE'!O161,0)))</f>
        <v>-369831.74905918125</v>
      </c>
      <c r="F162" s="70">
        <f t="shared" si="62"/>
        <v>18755.923468975314</v>
      </c>
      <c r="G162" s="70">
        <f t="shared" si="63"/>
        <v>-723.73009938692564</v>
      </c>
      <c r="H162" s="70">
        <v>0</v>
      </c>
      <c r="I162" s="70">
        <f t="shared" si="54"/>
        <v>18032.193369588389</v>
      </c>
      <c r="J162" s="123">
        <f t="shared" si="55"/>
        <v>4.0741237836483535E-3</v>
      </c>
      <c r="K162" s="123">
        <f t="shared" si="65"/>
        <v>4.573952771862122E-2</v>
      </c>
      <c r="L162" s="124">
        <f t="shared" si="53"/>
        <v>0.1075</v>
      </c>
      <c r="M162" s="125">
        <f>+Dashboard!$B$36</f>
        <v>1</v>
      </c>
      <c r="N162" s="160">
        <f t="shared" si="56"/>
        <v>8.5450710394860963E-3</v>
      </c>
      <c r="O162" s="70">
        <f t="shared" si="57"/>
        <v>2692493.3320663059</v>
      </c>
    </row>
    <row r="163" spans="1:15" s="53" customFormat="1" x14ac:dyDescent="0.25">
      <c r="A163" s="68">
        <v>156</v>
      </c>
      <c r="B163" s="64">
        <f>IF($D$1="SAC",-'Price x SAC x SACRE'!G162,IF('Base dinâmica'!$D$1="Price",-'Price x SAC x SACRE'!B162,IF('Base dinâmica'!$D$1="sacre",-'Price x SAC x SACRE'!L162,0)))</f>
        <v>-4100.9182743504398</v>
      </c>
      <c r="C163" s="64">
        <f>IF($D$1="SAC",-'Price x SAC x SACRE'!H162,IF('Base dinâmica'!$D$1="Price",-'Price x SAC x SACRE'!C162,IF('Base dinâmica'!$D$1="sacre",-'Price x SAC x SACRE'!M162,0)))</f>
        <v>-591.66138689319109</v>
      </c>
      <c r="D163" s="64">
        <f>IF($D$1="SAC",-'Price x SAC x SACRE'!I162,IF('Base dinâmica'!$D$1="Price",-'Price x SAC x SACRE'!D162,IF('Base dinâmica'!$D$1="sacre",-'Price x SAC x SACRE'!N162,0)))</f>
        <v>-3509.2568874572489</v>
      </c>
      <c r="E163" s="64">
        <f>IF($D$1="SAC",-'Price x SAC x SACRE'!J162,IF('Base dinâmica'!$D$1="Price",-'Price x SAC x SACRE'!E162,IF('Base dinâmica'!$D$1="sacre",-'Price x SAC x SACRE'!O162,0)))</f>
        <v>-369240.08767228806</v>
      </c>
      <c r="F163" s="64">
        <f>+F162</f>
        <v>18755.923468975314</v>
      </c>
      <c r="G163" s="64">
        <f>+G162</f>
        <v>-723.73009938692564</v>
      </c>
      <c r="H163" s="64">
        <v>0</v>
      </c>
      <c r="I163" s="64">
        <f t="shared" si="54"/>
        <v>18032.193369588389</v>
      </c>
      <c r="J163" s="119">
        <f t="shared" si="55"/>
        <v>4.0741237836483535E-3</v>
      </c>
      <c r="K163" s="119">
        <f t="shared" si="65"/>
        <v>5.0000000000000933E-2</v>
      </c>
      <c r="L163" s="120">
        <f t="shared" si="53"/>
        <v>0.1075</v>
      </c>
      <c r="M163" s="121">
        <f>+Dashboard!$B$36</f>
        <v>1</v>
      </c>
      <c r="N163" s="160">
        <f t="shared" si="56"/>
        <v>8.5450710394860963E-3</v>
      </c>
      <c r="O163" s="64">
        <f t="shared" si="57"/>
        <v>2729432.153957393</v>
      </c>
    </row>
    <row r="164" spans="1:15" outlineLevel="1" x14ac:dyDescent="0.25">
      <c r="A164" s="122">
        <v>157</v>
      </c>
      <c r="B164" s="70">
        <f>IF($D$1="SAC",-'Price x SAC x SACRE'!G163,IF('Base dinâmica'!$D$1="Price",-'Price x SAC x SACRE'!B163,IF('Base dinâmica'!$D$1="sacre",-'Price x SAC x SACRE'!L163,0)))</f>
        <v>-4100.9182743504398</v>
      </c>
      <c r="C164" s="70">
        <f>IF($D$1="SAC",-'Price x SAC x SACRE'!H163,IF('Base dinâmica'!$D$1="Price",-'Price x SAC x SACRE'!C163,IF('Base dinâmica'!$D$1="sacre",-'Price x SAC x SACRE'!M163,0)))</f>
        <v>-597.27553928080874</v>
      </c>
      <c r="D164" s="70">
        <f>IF($D$1="SAC",-'Price x SAC x SACRE'!I163,IF('Base dinâmica'!$D$1="Price",-'Price x SAC x SACRE'!D163,IF('Base dinâmica'!$D$1="sacre",-'Price x SAC x SACRE'!N163,0)))</f>
        <v>-3503.6427350696313</v>
      </c>
      <c r="E164" s="70">
        <f>IF($D$1="SAC",-'Price x SAC x SACRE'!J163,IF('Base dinâmica'!$D$1="Price",-'Price x SAC x SACRE'!E163,IF('Base dinâmica'!$D$1="sacre",-'Price x SAC x SACRE'!O163,0)))</f>
        <v>-368642.81213300728</v>
      </c>
      <c r="F164" s="70">
        <f>+F163*(1+K163)</f>
        <v>19693.719642424097</v>
      </c>
      <c r="G164" s="70">
        <f>+G163*(1+K163)</f>
        <v>-759.91660435627261</v>
      </c>
      <c r="H164" s="70">
        <f>+H161*(1+K163)</f>
        <v>-450.10445027256156</v>
      </c>
      <c r="I164" s="70">
        <f t="shared" si="54"/>
        <v>18483.698587795265</v>
      </c>
      <c r="J164" s="123">
        <f t="shared" si="55"/>
        <v>4.0741237836483535E-3</v>
      </c>
      <c r="K164" s="123">
        <f>+J164</f>
        <v>4.0741237836483535E-3</v>
      </c>
      <c r="L164" s="124">
        <f t="shared" si="53"/>
        <v>0.1075</v>
      </c>
      <c r="M164" s="125">
        <f>+Dashboard!$B$36</f>
        <v>1</v>
      </c>
      <c r="N164" s="160">
        <f t="shared" si="56"/>
        <v>8.5450710394860963E-3</v>
      </c>
      <c r="O164" s="70">
        <f t="shared" si="57"/>
        <v>2767138.1259238613</v>
      </c>
    </row>
    <row r="165" spans="1:15" outlineLevel="1" x14ac:dyDescent="0.25">
      <c r="A165" s="122">
        <v>158</v>
      </c>
      <c r="B165" s="70">
        <f>IF($D$1="SAC",-'Price x SAC x SACRE'!G164,IF('Base dinâmica'!$D$1="Price",-'Price x SAC x SACRE'!B164,IF('Base dinâmica'!$D$1="sacre",-'Price x SAC x SACRE'!L164,0)))</f>
        <v>-4100.9182743504407</v>
      </c>
      <c r="C165" s="70">
        <f>IF($D$1="SAC",-'Price x SAC x SACRE'!H164,IF('Base dinâmica'!$D$1="Price",-'Price x SAC x SACRE'!C164,IF('Base dinâmica'!$D$1="sacre",-'Price x SAC x SACRE'!M164,0)))</f>
        <v>-602.94296319793591</v>
      </c>
      <c r="D165" s="70">
        <f>IF($D$1="SAC",-'Price x SAC x SACRE'!I164,IF('Base dinâmica'!$D$1="Price",-'Price x SAC x SACRE'!D164,IF('Base dinâmica'!$D$1="sacre",-'Price x SAC x SACRE'!N164,0)))</f>
        <v>-3497.9753111525047</v>
      </c>
      <c r="E165" s="70">
        <f>IF($D$1="SAC",-'Price x SAC x SACRE'!J164,IF('Base dinâmica'!$D$1="Price",-'Price x SAC x SACRE'!E164,IF('Base dinâmica'!$D$1="sacre",-'Price x SAC x SACRE'!O164,0)))</f>
        <v>-368039.86916980933</v>
      </c>
      <c r="F165" s="70">
        <f>+F164</f>
        <v>19693.719642424097</v>
      </c>
      <c r="G165" s="70">
        <f>+G164</f>
        <v>-759.91660435627261</v>
      </c>
      <c r="H165" s="70">
        <f>+H164</f>
        <v>-450.10445027256156</v>
      </c>
      <c r="I165" s="70">
        <f t="shared" si="54"/>
        <v>18483.698587795265</v>
      </c>
      <c r="J165" s="123">
        <f t="shared" si="55"/>
        <v>4.0741237836483535E-3</v>
      </c>
      <c r="K165" s="123">
        <f>((+K164+1)*(J165+1))-1</f>
        <v>8.1648460519012644E-3</v>
      </c>
      <c r="L165" s="124">
        <f t="shared" si="53"/>
        <v>0.1075</v>
      </c>
      <c r="M165" s="125">
        <f>+Dashboard!$B$36</f>
        <v>1</v>
      </c>
      <c r="N165" s="160">
        <f t="shared" si="56"/>
        <v>8.5450710394860963E-3</v>
      </c>
      <c r="O165" s="70">
        <f t="shared" si="57"/>
        <v>2805166.2980993958</v>
      </c>
    </row>
    <row r="166" spans="1:15" outlineLevel="1" x14ac:dyDescent="0.25">
      <c r="A166" s="122">
        <v>159</v>
      </c>
      <c r="B166" s="70">
        <f>IF($D$1="SAC",-'Price x SAC x SACRE'!G165,IF('Base dinâmica'!$D$1="Price",-'Price x SAC x SACRE'!B165,IF('Base dinâmica'!$D$1="sacre",-'Price x SAC x SACRE'!L165,0)))</f>
        <v>-4100.9182743504407</v>
      </c>
      <c r="C166" s="70">
        <f>IF($D$1="SAC",-'Price x SAC x SACRE'!H165,IF('Base dinâmica'!$D$1="Price",-'Price x SAC x SACRE'!C165,IF('Base dinâmica'!$D$1="sacre",-'Price x SAC x SACRE'!M165,0)))</f>
        <v>-608.66416412708497</v>
      </c>
      <c r="D166" s="70">
        <f>IF($D$1="SAC",-'Price x SAC x SACRE'!I165,IF('Base dinâmica'!$D$1="Price",-'Price x SAC x SACRE'!D165,IF('Base dinâmica'!$D$1="sacre",-'Price x SAC x SACRE'!N165,0)))</f>
        <v>-3492.2541102233554</v>
      </c>
      <c r="E166" s="70">
        <f>IF($D$1="SAC",-'Price x SAC x SACRE'!J165,IF('Base dinâmica'!$D$1="Price",-'Price x SAC x SACRE'!E165,IF('Base dinâmica'!$D$1="sacre",-'Price x SAC x SACRE'!O165,0)))</f>
        <v>-367431.20500568225</v>
      </c>
      <c r="F166" s="70">
        <f t="shared" ref="F166:F174" si="66">+F165</f>
        <v>19693.719642424097</v>
      </c>
      <c r="G166" s="70">
        <f t="shared" ref="G166:G174" si="67">+G165</f>
        <v>-759.91660435627261</v>
      </c>
      <c r="H166" s="70">
        <f t="shared" ref="H166:H173" si="68">+H165</f>
        <v>-450.10445027256156</v>
      </c>
      <c r="I166" s="70">
        <f t="shared" si="54"/>
        <v>18483.698587795265</v>
      </c>
      <c r="J166" s="123">
        <f t="shared" si="55"/>
        <v>4.0741237836483535E-3</v>
      </c>
      <c r="K166" s="123">
        <f t="shared" ref="K166:K175" si="69">((+K165+1)*(J166+1))-1</f>
        <v>1.2272234429039575E-2</v>
      </c>
      <c r="L166" s="124">
        <f t="shared" si="53"/>
        <v>0.1075</v>
      </c>
      <c r="M166" s="125">
        <f>+Dashboard!$B$36</f>
        <v>1</v>
      </c>
      <c r="N166" s="160">
        <f t="shared" si="56"/>
        <v>8.5450710394860963E-3</v>
      </c>
      <c r="O166" s="70">
        <f t="shared" si="57"/>
        <v>2843519.4237076724</v>
      </c>
    </row>
    <row r="167" spans="1:15" outlineLevel="1" x14ac:dyDescent="0.25">
      <c r="A167" s="122">
        <v>160</v>
      </c>
      <c r="B167" s="70">
        <f>IF($D$1="SAC",-'Price x SAC x SACRE'!G166,IF('Base dinâmica'!$D$1="Price",-'Price x SAC x SACRE'!B166,IF('Base dinâmica'!$D$1="sacre",-'Price x SAC x SACRE'!L166,0)))</f>
        <v>-4100.9182743504407</v>
      </c>
      <c r="C167" s="70">
        <f>IF($D$1="SAC",-'Price x SAC x SACRE'!H166,IF('Base dinâmica'!$D$1="Price",-'Price x SAC x SACRE'!C166,IF('Base dinâmica'!$D$1="sacre",-'Price x SAC x SACRE'!M166,0)))</f>
        <v>-614.43965234718792</v>
      </c>
      <c r="D167" s="70">
        <f>IF($D$1="SAC",-'Price x SAC x SACRE'!I166,IF('Base dinâmica'!$D$1="Price",-'Price x SAC x SACRE'!D166,IF('Base dinâmica'!$D$1="sacre",-'Price x SAC x SACRE'!N166,0)))</f>
        <v>-3486.4786220032524</v>
      </c>
      <c r="E167" s="70">
        <f>IF($D$1="SAC",-'Price x SAC x SACRE'!J166,IF('Base dinâmica'!$D$1="Price",-'Price x SAC x SACRE'!E166,IF('Base dinâmica'!$D$1="sacre",-'Price x SAC x SACRE'!O166,0)))</f>
        <v>-366816.76535333507</v>
      </c>
      <c r="F167" s="70">
        <f t="shared" si="66"/>
        <v>19693.719642424097</v>
      </c>
      <c r="G167" s="70">
        <f t="shared" si="67"/>
        <v>-759.91660435627261</v>
      </c>
      <c r="H167" s="70">
        <f t="shared" si="68"/>
        <v>-450.10445027256156</v>
      </c>
      <c r="I167" s="70">
        <f t="shared" si="54"/>
        <v>18483.698587795265</v>
      </c>
      <c r="J167" s="123">
        <f t="shared" si="55"/>
        <v>4.0741237836483535E-3</v>
      </c>
      <c r="K167" s="123">
        <f t="shared" si="69"/>
        <v>1.6396356814853741E-2</v>
      </c>
      <c r="L167" s="124">
        <f t="shared" si="53"/>
        <v>0.1075</v>
      </c>
      <c r="M167" s="125">
        <f>+Dashboard!$B$36</f>
        <v>1</v>
      </c>
      <c r="N167" s="160">
        <f t="shared" si="56"/>
        <v>8.5450710394860963E-3</v>
      </c>
      <c r="O167" s="70">
        <f t="shared" si="57"/>
        <v>2882200.2794988579</v>
      </c>
    </row>
    <row r="168" spans="1:15" outlineLevel="1" x14ac:dyDescent="0.25">
      <c r="A168" s="122">
        <v>161</v>
      </c>
      <c r="B168" s="70">
        <f>IF($D$1="SAC",-'Price x SAC x SACRE'!G167,IF('Base dinâmica'!$D$1="Price",-'Price x SAC x SACRE'!B167,IF('Base dinâmica'!$D$1="sacre",-'Price x SAC x SACRE'!L167,0)))</f>
        <v>-4100.9182743504407</v>
      </c>
      <c r="C168" s="70">
        <f>IF($D$1="SAC",-'Price x SAC x SACRE'!H167,IF('Base dinâmica'!$D$1="Price",-'Price x SAC x SACRE'!C167,IF('Base dinâmica'!$D$1="sacre",-'Price x SAC x SACRE'!M167,0)))</f>
        <v>-620.26994297910767</v>
      </c>
      <c r="D168" s="70">
        <f>IF($D$1="SAC",-'Price x SAC x SACRE'!I167,IF('Base dinâmica'!$D$1="Price",-'Price x SAC x SACRE'!D167,IF('Base dinâmica'!$D$1="sacre",-'Price x SAC x SACRE'!N167,0)))</f>
        <v>-3480.6483313713329</v>
      </c>
      <c r="E168" s="70">
        <f>IF($D$1="SAC",-'Price x SAC x SACRE'!J167,IF('Base dinâmica'!$D$1="Price",-'Price x SAC x SACRE'!E167,IF('Base dinâmica'!$D$1="sacre",-'Price x SAC x SACRE'!O167,0)))</f>
        <v>-366196.49541035597</v>
      </c>
      <c r="F168" s="70">
        <f t="shared" si="66"/>
        <v>19693.719642424097</v>
      </c>
      <c r="G168" s="70">
        <f t="shared" si="67"/>
        <v>-759.91660435627261</v>
      </c>
      <c r="H168" s="70">
        <f t="shared" si="68"/>
        <v>-450.10445027256156</v>
      </c>
      <c r="I168" s="70">
        <f t="shared" si="54"/>
        <v>18483.698587795265</v>
      </c>
      <c r="J168" s="123">
        <f t="shared" si="55"/>
        <v>4.0741237836483535E-3</v>
      </c>
      <c r="K168" s="123">
        <f t="shared" si="69"/>
        <v>2.0537281385766715E-2</v>
      </c>
      <c r="L168" s="124">
        <f t="shared" si="53"/>
        <v>0.1075</v>
      </c>
      <c r="M168" s="125">
        <f>+Dashboard!$B$36</f>
        <v>1</v>
      </c>
      <c r="N168" s="160">
        <f t="shared" si="56"/>
        <v>8.5450710394860963E-3</v>
      </c>
      <c r="O168" s="70">
        <f t="shared" si="57"/>
        <v>2921211.6659506471</v>
      </c>
    </row>
    <row r="169" spans="1:15" outlineLevel="1" x14ac:dyDescent="0.25">
      <c r="A169" s="122">
        <v>162</v>
      </c>
      <c r="B169" s="70">
        <f>IF($D$1="SAC",-'Price x SAC x SACRE'!G168,IF('Base dinâmica'!$D$1="Price",-'Price x SAC x SACRE'!B168,IF('Base dinâmica'!$D$1="sacre",-'Price x SAC x SACRE'!L168,0)))</f>
        <v>-4100.9182743504407</v>
      </c>
      <c r="C169" s="70">
        <f>IF($D$1="SAC",-'Price x SAC x SACRE'!H168,IF('Base dinâmica'!$D$1="Price",-'Price x SAC x SACRE'!C168,IF('Base dinâmica'!$D$1="sacre",-'Price x SAC x SACRE'!M168,0)))</f>
        <v>-626.15555603158202</v>
      </c>
      <c r="D169" s="70">
        <f>IF($D$1="SAC",-'Price x SAC x SACRE'!I168,IF('Base dinâmica'!$D$1="Price",-'Price x SAC x SACRE'!D168,IF('Base dinâmica'!$D$1="sacre",-'Price x SAC x SACRE'!N168,0)))</f>
        <v>-3474.7627183188583</v>
      </c>
      <c r="E169" s="70">
        <f>IF($D$1="SAC",-'Price x SAC x SACRE'!J168,IF('Base dinâmica'!$D$1="Price",-'Price x SAC x SACRE'!E168,IF('Base dinâmica'!$D$1="sacre",-'Price x SAC x SACRE'!O168,0)))</f>
        <v>-365570.33985432441</v>
      </c>
      <c r="F169" s="70">
        <f t="shared" si="66"/>
        <v>19693.719642424097</v>
      </c>
      <c r="G169" s="70">
        <f t="shared" si="67"/>
        <v>-759.91660435627261</v>
      </c>
      <c r="H169" s="70">
        <f t="shared" si="68"/>
        <v>-450.10445027256156</v>
      </c>
      <c r="I169" s="70">
        <f t="shared" si="54"/>
        <v>18483.698587795265</v>
      </c>
      <c r="J169" s="123">
        <f t="shared" si="55"/>
        <v>4.0741237836483535E-3</v>
      </c>
      <c r="K169" s="123">
        <f t="shared" si="69"/>
        <v>2.4695076595960375E-2</v>
      </c>
      <c r="L169" s="124">
        <f t="shared" si="53"/>
        <v>0.1075</v>
      </c>
      <c r="M169" s="125">
        <f>+Dashboard!$B$36</f>
        <v>1</v>
      </c>
      <c r="N169" s="160">
        <f t="shared" si="56"/>
        <v>8.5450710394860963E-3</v>
      </c>
      <c r="O169" s="70">
        <f t="shared" si="57"/>
        <v>2960556.4074710156</v>
      </c>
    </row>
    <row r="170" spans="1:15" outlineLevel="1" x14ac:dyDescent="0.25">
      <c r="A170" s="122">
        <v>163</v>
      </c>
      <c r="B170" s="70">
        <f>IF($D$1="SAC",-'Price x SAC x SACRE'!G169,IF('Base dinâmica'!$D$1="Price",-'Price x SAC x SACRE'!B169,IF('Base dinâmica'!$D$1="sacre",-'Price x SAC x SACRE'!L169,0)))</f>
        <v>-4100.9182743504407</v>
      </c>
      <c r="C170" s="70">
        <f>IF($D$1="SAC",-'Price x SAC x SACRE'!H169,IF('Base dinâmica'!$D$1="Price",-'Price x SAC x SACRE'!C169,IF('Base dinâmica'!$D$1="sacre",-'Price x SAC x SACRE'!M169,0)))</f>
        <v>-632.09701644760446</v>
      </c>
      <c r="D170" s="70">
        <f>IF($D$1="SAC",-'Price x SAC x SACRE'!I169,IF('Base dinâmica'!$D$1="Price",-'Price x SAC x SACRE'!D169,IF('Base dinâmica'!$D$1="sacre",-'Price x SAC x SACRE'!N169,0)))</f>
        <v>-3468.8212579028364</v>
      </c>
      <c r="E170" s="70">
        <f>IF($D$1="SAC",-'Price x SAC x SACRE'!J169,IF('Base dinâmica'!$D$1="Price",-'Price x SAC x SACRE'!E169,IF('Base dinâmica'!$D$1="sacre",-'Price x SAC x SACRE'!O169,0)))</f>
        <v>-364938.24283787678</v>
      </c>
      <c r="F170" s="70">
        <f t="shared" si="66"/>
        <v>19693.719642424097</v>
      </c>
      <c r="G170" s="70">
        <f t="shared" si="67"/>
        <v>-759.91660435627261</v>
      </c>
      <c r="H170" s="70">
        <f t="shared" si="68"/>
        <v>-450.10445027256156</v>
      </c>
      <c r="I170" s="70">
        <f t="shared" si="54"/>
        <v>18483.698587795265</v>
      </c>
      <c r="J170" s="123">
        <f t="shared" si="55"/>
        <v>4.0741237836483535E-3</v>
      </c>
      <c r="K170" s="123">
        <f t="shared" si="69"/>
        <v>2.8869811178507288E-2</v>
      </c>
      <c r="L170" s="124">
        <f t="shared" si="53"/>
        <v>0.1075</v>
      </c>
      <c r="M170" s="125">
        <f>+Dashboard!$B$36</f>
        <v>1</v>
      </c>
      <c r="N170" s="160">
        <f t="shared" si="56"/>
        <v>8.5450710394860963E-3</v>
      </c>
      <c r="O170" s="70">
        <f t="shared" si="57"/>
        <v>3000237.3526027058</v>
      </c>
    </row>
    <row r="171" spans="1:15" outlineLevel="1" x14ac:dyDescent="0.25">
      <c r="A171" s="122">
        <v>164</v>
      </c>
      <c r="B171" s="70">
        <f>IF($D$1="SAC",-'Price x SAC x SACRE'!G170,IF('Base dinâmica'!$D$1="Price",-'Price x SAC x SACRE'!B170,IF('Base dinâmica'!$D$1="sacre",-'Price x SAC x SACRE'!L170,0)))</f>
        <v>-4100.9182743504407</v>
      </c>
      <c r="C171" s="70">
        <f>IF($D$1="SAC",-'Price x SAC x SACRE'!H170,IF('Base dinâmica'!$D$1="Price",-'Price x SAC x SACRE'!C170,IF('Base dinâmica'!$D$1="sacre",-'Price x SAC x SACRE'!M170,0)))</f>
        <v>-638.09485415124345</v>
      </c>
      <c r="D171" s="70">
        <f>IF($D$1="SAC",-'Price x SAC x SACRE'!I170,IF('Base dinâmica'!$D$1="Price",-'Price x SAC x SACRE'!D170,IF('Base dinâmica'!$D$1="sacre",-'Price x SAC x SACRE'!N170,0)))</f>
        <v>-3462.8234201991968</v>
      </c>
      <c r="E171" s="70">
        <f>IF($D$1="SAC",-'Price x SAC x SACRE'!J170,IF('Base dinâmica'!$D$1="Price",-'Price x SAC x SACRE'!E170,IF('Base dinâmica'!$D$1="sacre",-'Price x SAC x SACRE'!O170,0)))</f>
        <v>-364300.14798372553</v>
      </c>
      <c r="F171" s="70">
        <f t="shared" si="66"/>
        <v>19693.719642424097</v>
      </c>
      <c r="G171" s="70">
        <f t="shared" si="67"/>
        <v>-759.91660435627261</v>
      </c>
      <c r="H171" s="70">
        <f t="shared" si="68"/>
        <v>-450.10445027256156</v>
      </c>
      <c r="I171" s="70">
        <f t="shared" si="54"/>
        <v>18483.698587795265</v>
      </c>
      <c r="J171" s="123">
        <f t="shared" si="55"/>
        <v>4.0741237836483535E-3</v>
      </c>
      <c r="K171" s="123">
        <f t="shared" si="69"/>
        <v>3.3061554146507355E-2</v>
      </c>
      <c r="L171" s="124">
        <f t="shared" si="53"/>
        <v>0.1075</v>
      </c>
      <c r="M171" s="125">
        <f>+Dashboard!$B$36</f>
        <v>1</v>
      </c>
      <c r="N171" s="160">
        <f t="shared" si="56"/>
        <v>8.5450710394860963E-3</v>
      </c>
      <c r="O171" s="70">
        <f t="shared" si="57"/>
        <v>3040257.3742294605</v>
      </c>
    </row>
    <row r="172" spans="1:15" outlineLevel="1" x14ac:dyDescent="0.25">
      <c r="A172" s="122">
        <v>165</v>
      </c>
      <c r="B172" s="70">
        <f>IF($D$1="SAC",-'Price x SAC x SACRE'!G171,IF('Base dinâmica'!$D$1="Price",-'Price x SAC x SACRE'!B171,IF('Base dinâmica'!$D$1="sacre",-'Price x SAC x SACRE'!L171,0)))</f>
        <v>-4100.9182743504407</v>
      </c>
      <c r="C172" s="70">
        <f>IF($D$1="SAC",-'Price x SAC x SACRE'!H171,IF('Base dinâmica'!$D$1="Price",-'Price x SAC x SACRE'!C171,IF('Base dinâmica'!$D$1="sacre",-'Price x SAC x SACRE'!M171,0)))</f>
        <v>-644.14960409490766</v>
      </c>
      <c r="D172" s="70">
        <f>IF($D$1="SAC",-'Price x SAC x SACRE'!I171,IF('Base dinâmica'!$D$1="Price",-'Price x SAC x SACRE'!D171,IF('Base dinâmica'!$D$1="sacre",-'Price x SAC x SACRE'!N171,0)))</f>
        <v>-3456.7686702555329</v>
      </c>
      <c r="E172" s="70">
        <f>IF($D$1="SAC",-'Price x SAC x SACRE'!J171,IF('Base dinâmica'!$D$1="Price",-'Price x SAC x SACRE'!E171,IF('Base dinâmica'!$D$1="sacre",-'Price x SAC x SACRE'!O171,0)))</f>
        <v>-363655.99837963062</v>
      </c>
      <c r="F172" s="70">
        <f t="shared" si="66"/>
        <v>19693.719642424097</v>
      </c>
      <c r="G172" s="70">
        <f t="shared" si="67"/>
        <v>-759.91660435627261</v>
      </c>
      <c r="H172" s="70">
        <f t="shared" si="68"/>
        <v>-450.10445027256156</v>
      </c>
      <c r="I172" s="70">
        <f t="shared" si="54"/>
        <v>18483.698587795265</v>
      </c>
      <c r="J172" s="123">
        <f t="shared" si="55"/>
        <v>4.0741237836483535E-3</v>
      </c>
      <c r="K172" s="123">
        <f t="shared" si="69"/>
        <v>3.7270374794228456E-2</v>
      </c>
      <c r="L172" s="124">
        <f t="shared" si="53"/>
        <v>0.1075</v>
      </c>
      <c r="M172" s="125">
        <f>+Dashboard!$B$36</f>
        <v>1</v>
      </c>
      <c r="N172" s="160">
        <f t="shared" si="56"/>
        <v>8.5450710394860963E-3</v>
      </c>
      <c r="O172" s="70">
        <f t="shared" si="57"/>
        <v>3080619.3697840176</v>
      </c>
    </row>
    <row r="173" spans="1:15" outlineLevel="1" x14ac:dyDescent="0.25">
      <c r="A173" s="122">
        <v>166</v>
      </c>
      <c r="B173" s="70">
        <f>IF($D$1="SAC",-'Price x SAC x SACRE'!G172,IF('Base dinâmica'!$D$1="Price",-'Price x SAC x SACRE'!B172,IF('Base dinâmica'!$D$1="sacre",-'Price x SAC x SACRE'!L172,0)))</f>
        <v>-4100.9182743504407</v>
      </c>
      <c r="C173" s="70">
        <f>IF($D$1="SAC",-'Price x SAC x SACRE'!H172,IF('Base dinâmica'!$D$1="Price",-'Price x SAC x SACRE'!C172,IF('Base dinâmica'!$D$1="sacre",-'Price x SAC x SACRE'!M172,0)))</f>
        <v>-650.26180630705778</v>
      </c>
      <c r="D173" s="70">
        <f>IF($D$1="SAC",-'Price x SAC x SACRE'!I172,IF('Base dinâmica'!$D$1="Price",-'Price x SAC x SACRE'!D172,IF('Base dinâmica'!$D$1="sacre",-'Price x SAC x SACRE'!N172,0)))</f>
        <v>-3450.6564680433826</v>
      </c>
      <c r="E173" s="70">
        <f>IF($D$1="SAC",-'Price x SAC x SACRE'!J172,IF('Base dinâmica'!$D$1="Price",-'Price x SAC x SACRE'!E172,IF('Base dinâmica'!$D$1="sacre",-'Price x SAC x SACRE'!O172,0)))</f>
        <v>-363005.73657332355</v>
      </c>
      <c r="F173" s="70">
        <f t="shared" si="66"/>
        <v>19693.719642424097</v>
      </c>
      <c r="G173" s="70">
        <f t="shared" si="67"/>
        <v>-759.91660435627261</v>
      </c>
      <c r="H173" s="70">
        <f t="shared" si="68"/>
        <v>-450.10445027256156</v>
      </c>
      <c r="I173" s="70">
        <f t="shared" si="54"/>
        <v>18483.698587795265</v>
      </c>
      <c r="J173" s="123">
        <f t="shared" si="55"/>
        <v>4.0741237836483535E-3</v>
      </c>
      <c r="K173" s="123">
        <f t="shared" si="69"/>
        <v>4.1496342698251532E-2</v>
      </c>
      <c r="L173" s="124">
        <f t="shared" si="53"/>
        <v>0.1075</v>
      </c>
      <c r="M173" s="125">
        <f>+Dashboard!$B$36</f>
        <v>1</v>
      </c>
      <c r="N173" s="160">
        <f t="shared" si="56"/>
        <v>8.5450710394860963E-3</v>
      </c>
      <c r="O173" s="70">
        <f t="shared" si="57"/>
        <v>3121326.2614578838</v>
      </c>
    </row>
    <row r="174" spans="1:15" outlineLevel="1" x14ac:dyDescent="0.25">
      <c r="A174" s="122">
        <v>167</v>
      </c>
      <c r="B174" s="70">
        <f>IF($D$1="SAC",-'Price x SAC x SACRE'!G173,IF('Base dinâmica'!$D$1="Price",-'Price x SAC x SACRE'!B173,IF('Base dinâmica'!$D$1="sacre",-'Price x SAC x SACRE'!L173,0)))</f>
        <v>-4100.9182743504398</v>
      </c>
      <c r="C174" s="70">
        <f>IF($D$1="SAC",-'Price x SAC x SACRE'!H173,IF('Base dinâmica'!$D$1="Price",-'Price x SAC x SACRE'!C173,IF('Base dinâmica'!$D$1="sacre",-'Price x SAC x SACRE'!M173,0)))</f>
        <v>-656.43200594037341</v>
      </c>
      <c r="D174" s="70">
        <f>IF($D$1="SAC",-'Price x SAC x SACRE'!I173,IF('Base dinâmica'!$D$1="Price",-'Price x SAC x SACRE'!D173,IF('Base dinâmica'!$D$1="sacre",-'Price x SAC x SACRE'!N173,0)))</f>
        <v>-3444.4862684100667</v>
      </c>
      <c r="E174" s="70">
        <f>IF($D$1="SAC",-'Price x SAC x SACRE'!J173,IF('Base dinâmica'!$D$1="Price",-'Price x SAC x SACRE'!E173,IF('Base dinâmica'!$D$1="sacre",-'Price x SAC x SACRE'!O173,0)))</f>
        <v>-362349.30456738319</v>
      </c>
      <c r="F174" s="70">
        <f t="shared" si="66"/>
        <v>19693.719642424097</v>
      </c>
      <c r="G174" s="70">
        <f t="shared" si="67"/>
        <v>-759.91660435627261</v>
      </c>
      <c r="H174" s="70">
        <v>0</v>
      </c>
      <c r="I174" s="70">
        <f t="shared" si="54"/>
        <v>18933.803038067825</v>
      </c>
      <c r="J174" s="123">
        <f t="shared" si="55"/>
        <v>4.0741237836483535E-3</v>
      </c>
      <c r="K174" s="123">
        <f t="shared" si="69"/>
        <v>4.573952771862122E-2</v>
      </c>
      <c r="L174" s="124">
        <f t="shared" si="53"/>
        <v>0.1075</v>
      </c>
      <c r="M174" s="125">
        <f>+Dashboard!$B$36</f>
        <v>1</v>
      </c>
      <c r="N174" s="160">
        <f t="shared" si="56"/>
        <v>8.5450710394860963E-3</v>
      </c>
      <c r="O174" s="70">
        <f t="shared" si="57"/>
        <v>3162831.1008631722</v>
      </c>
    </row>
    <row r="175" spans="1:15" s="53" customFormat="1" x14ac:dyDescent="0.25">
      <c r="A175" s="68">
        <v>168</v>
      </c>
      <c r="B175" s="64">
        <f>IF($D$1="SAC",-'Price x SAC x SACRE'!G174,IF('Base dinâmica'!$D$1="Price",-'Price x SAC x SACRE'!B174,IF('Base dinâmica'!$D$1="sacre",-'Price x SAC x SACRE'!L174,0)))</f>
        <v>-4100.9182743504407</v>
      </c>
      <c r="C175" s="64">
        <f>IF($D$1="SAC",-'Price x SAC x SACRE'!H174,IF('Base dinâmica'!$D$1="Price",-'Price x SAC x SACRE'!C174,IF('Base dinâmica'!$D$1="sacre",-'Price x SAC x SACRE'!M174,0)))</f>
        <v>-662.66075332037462</v>
      </c>
      <c r="D175" s="64">
        <f>IF($D$1="SAC",-'Price x SAC x SACRE'!I174,IF('Base dinâmica'!$D$1="Price",-'Price x SAC x SACRE'!D174,IF('Base dinâmica'!$D$1="sacre",-'Price x SAC x SACRE'!N174,0)))</f>
        <v>-3438.2575210300656</v>
      </c>
      <c r="E175" s="64">
        <f>IF($D$1="SAC",-'Price x SAC x SACRE'!J174,IF('Base dinâmica'!$D$1="Price",-'Price x SAC x SACRE'!E174,IF('Base dinâmica'!$D$1="sacre",-'Price x SAC x SACRE'!O174,0)))</f>
        <v>-361686.64381406282</v>
      </c>
      <c r="F175" s="64">
        <f>+F174</f>
        <v>19693.719642424097</v>
      </c>
      <c r="G175" s="64">
        <f>+G174</f>
        <v>-759.91660435627261</v>
      </c>
      <c r="H175" s="64">
        <v>0</v>
      </c>
      <c r="I175" s="64">
        <f t="shared" si="54"/>
        <v>18933.803038067825</v>
      </c>
      <c r="J175" s="119">
        <f t="shared" si="55"/>
        <v>4.0741237836483535E-3</v>
      </c>
      <c r="K175" s="119">
        <f t="shared" si="69"/>
        <v>5.0000000000000933E-2</v>
      </c>
      <c r="L175" s="120">
        <f t="shared" si="53"/>
        <v>0.1075</v>
      </c>
      <c r="M175" s="121">
        <f>+Dashboard!$B$36</f>
        <v>1</v>
      </c>
      <c r="N175" s="160">
        <f t="shared" si="56"/>
        <v>8.5450710394860963E-3</v>
      </c>
      <c r="O175" s="64">
        <f t="shared" si="57"/>
        <v>3204690.602069661</v>
      </c>
    </row>
    <row r="176" spans="1:15" outlineLevel="1" x14ac:dyDescent="0.25">
      <c r="A176" s="122">
        <v>169</v>
      </c>
      <c r="B176" s="70">
        <f>IF($D$1="SAC",-'Price x SAC x SACRE'!G175,IF('Base dinâmica'!$D$1="Price",-'Price x SAC x SACRE'!B175,IF('Base dinâmica'!$D$1="sacre",-'Price x SAC x SACRE'!L175,0)))</f>
        <v>-4100.9182743504407</v>
      </c>
      <c r="C176" s="70">
        <f>IF($D$1="SAC",-'Price x SAC x SACRE'!H175,IF('Base dinâmica'!$D$1="Price",-'Price x SAC x SACRE'!C175,IF('Base dinâmica'!$D$1="sacre",-'Price x SAC x SACRE'!M175,0)))</f>
        <v>-668.94860399450647</v>
      </c>
      <c r="D176" s="70">
        <f>IF($D$1="SAC",-'Price x SAC x SACRE'!I175,IF('Base dinâmica'!$D$1="Price",-'Price x SAC x SACRE'!D175,IF('Base dinâmica'!$D$1="sacre",-'Price x SAC x SACRE'!N175,0)))</f>
        <v>-3431.9696703559339</v>
      </c>
      <c r="E176" s="70">
        <f>IF($D$1="SAC",-'Price x SAC x SACRE'!J175,IF('Base dinâmica'!$D$1="Price",-'Price x SAC x SACRE'!E175,IF('Base dinâmica'!$D$1="sacre",-'Price x SAC x SACRE'!O175,0)))</f>
        <v>-361017.69521006831</v>
      </c>
      <c r="F176" s="70">
        <f>+F175*(1+K175)</f>
        <v>20678.405624545321</v>
      </c>
      <c r="G176" s="70">
        <f>+G175*(1+K175)</f>
        <v>-797.912434574087</v>
      </c>
      <c r="H176" s="70">
        <f>+H173*(1+K175)</f>
        <v>-472.60967278619006</v>
      </c>
      <c r="I176" s="70">
        <f t="shared" si="54"/>
        <v>19407.883517185044</v>
      </c>
      <c r="J176" s="123">
        <f t="shared" si="55"/>
        <v>4.0741237836483535E-3</v>
      </c>
      <c r="K176" s="123">
        <f>+J176</f>
        <v>4.0741237836483535E-3</v>
      </c>
      <c r="L176" s="124">
        <f t="shared" si="53"/>
        <v>0.1075</v>
      </c>
      <c r="M176" s="125">
        <f>+Dashboard!$B$36</f>
        <v>1</v>
      </c>
      <c r="N176" s="160">
        <f t="shared" si="56"/>
        <v>8.5450710394860963E-3</v>
      </c>
      <c r="O176" s="70">
        <f t="shared" si="57"/>
        <v>3247381.8761667544</v>
      </c>
    </row>
    <row r="177" spans="1:15" outlineLevel="1" x14ac:dyDescent="0.25">
      <c r="A177" s="122">
        <v>170</v>
      </c>
      <c r="B177" s="70">
        <f>IF($D$1="SAC",-'Price x SAC x SACRE'!G176,IF('Base dinâmica'!$D$1="Price",-'Price x SAC x SACRE'!B176,IF('Base dinâmica'!$D$1="sacre",-'Price x SAC x SACRE'!L176,0)))</f>
        <v>-4100.9182743504407</v>
      </c>
      <c r="C177" s="70">
        <f>IF($D$1="SAC",-'Price x SAC x SACRE'!H176,IF('Base dinâmica'!$D$1="Price",-'Price x SAC x SACRE'!C176,IF('Base dinâmica'!$D$1="sacre",-'Price x SAC x SACRE'!M176,0)))</f>
        <v>-675.29611878168862</v>
      </c>
      <c r="D177" s="70">
        <f>IF($D$1="SAC",-'Price x SAC x SACRE'!I176,IF('Base dinâmica'!$D$1="Price",-'Price x SAC x SACRE'!D176,IF('Base dinâmica'!$D$1="sacre",-'Price x SAC x SACRE'!N176,0)))</f>
        <v>-3425.6221555687516</v>
      </c>
      <c r="E177" s="70">
        <f>IF($D$1="SAC",-'Price x SAC x SACRE'!J176,IF('Base dinâmica'!$D$1="Price",-'Price x SAC x SACRE'!E176,IF('Base dinâmica'!$D$1="sacre",-'Price x SAC x SACRE'!O176,0)))</f>
        <v>-360342.39909128664</v>
      </c>
      <c r="F177" s="70">
        <f>+F176</f>
        <v>20678.405624545321</v>
      </c>
      <c r="G177" s="70">
        <f>+G176</f>
        <v>-797.912434574087</v>
      </c>
      <c r="H177" s="70">
        <f>+H176</f>
        <v>-472.60967278619006</v>
      </c>
      <c r="I177" s="70">
        <f t="shared" si="54"/>
        <v>19407.883517185044</v>
      </c>
      <c r="J177" s="123">
        <f t="shared" si="55"/>
        <v>4.0741237836483535E-3</v>
      </c>
      <c r="K177" s="123">
        <f>((+K176+1)*(J177+1))-1</f>
        <v>8.1648460519012644E-3</v>
      </c>
      <c r="L177" s="124">
        <f t="shared" si="53"/>
        <v>0.1075</v>
      </c>
      <c r="M177" s="125">
        <f>+Dashboard!$B$36</f>
        <v>1</v>
      </c>
      <c r="N177" s="160">
        <f t="shared" si="56"/>
        <v>8.5450710394860963E-3</v>
      </c>
      <c r="O177" s="70">
        <f t="shared" si="57"/>
        <v>3290437.9502337738</v>
      </c>
    </row>
    <row r="178" spans="1:15" outlineLevel="1" x14ac:dyDescent="0.25">
      <c r="A178" s="122">
        <v>171</v>
      </c>
      <c r="B178" s="70">
        <f>IF($D$1="SAC",-'Price x SAC x SACRE'!G177,IF('Base dinâmica'!$D$1="Price",-'Price x SAC x SACRE'!B177,IF('Base dinâmica'!$D$1="sacre",-'Price x SAC x SACRE'!L177,0)))</f>
        <v>-4100.9182743504407</v>
      </c>
      <c r="C178" s="70">
        <f>IF($D$1="SAC",-'Price x SAC x SACRE'!H177,IF('Base dinâmica'!$D$1="Price",-'Price x SAC x SACRE'!C177,IF('Base dinâmica'!$D$1="sacre",-'Price x SAC x SACRE'!M177,0)))</f>
        <v>-681.70386382233585</v>
      </c>
      <c r="D178" s="70">
        <f>IF($D$1="SAC",-'Price x SAC x SACRE'!I177,IF('Base dinâmica'!$D$1="Price",-'Price x SAC x SACRE'!D177,IF('Base dinâmica'!$D$1="sacre",-'Price x SAC x SACRE'!N177,0)))</f>
        <v>-3419.214410528105</v>
      </c>
      <c r="E178" s="70">
        <f>IF($D$1="SAC",-'Price x SAC x SACRE'!J177,IF('Base dinâmica'!$D$1="Price",-'Price x SAC x SACRE'!E177,IF('Base dinâmica'!$D$1="sacre",-'Price x SAC x SACRE'!O177,0)))</f>
        <v>-359660.69522746431</v>
      </c>
      <c r="F178" s="70">
        <f t="shared" ref="F178:F186" si="70">+F177</f>
        <v>20678.405624545321</v>
      </c>
      <c r="G178" s="70">
        <f t="shared" ref="G178:G186" si="71">+G177</f>
        <v>-797.912434574087</v>
      </c>
      <c r="H178" s="70">
        <f t="shared" ref="H178:H185" si="72">+H177</f>
        <v>-472.60967278619006</v>
      </c>
      <c r="I178" s="70">
        <f t="shared" si="54"/>
        <v>19407.883517185044</v>
      </c>
      <c r="J178" s="123">
        <f t="shared" si="55"/>
        <v>4.0741237836483535E-3</v>
      </c>
      <c r="K178" s="123">
        <f t="shared" ref="K178:K187" si="73">((+K177+1)*(J178+1))-1</f>
        <v>1.2272234429039575E-2</v>
      </c>
      <c r="L178" s="124">
        <f t="shared" si="53"/>
        <v>0.1075</v>
      </c>
      <c r="M178" s="125">
        <f>+Dashboard!$B$36</f>
        <v>1</v>
      </c>
      <c r="N178" s="160">
        <f t="shared" si="56"/>
        <v>8.5450710394860963E-3</v>
      </c>
      <c r="O178" s="70">
        <f t="shared" si="57"/>
        <v>3333861.941512377</v>
      </c>
    </row>
    <row r="179" spans="1:15" outlineLevel="1" x14ac:dyDescent="0.25">
      <c r="A179" s="122">
        <v>172</v>
      </c>
      <c r="B179" s="70">
        <f>IF($D$1="SAC",-'Price x SAC x SACRE'!G178,IF('Base dinâmica'!$D$1="Price",-'Price x SAC x SACRE'!B178,IF('Base dinâmica'!$D$1="sacre",-'Price x SAC x SACRE'!L178,0)))</f>
        <v>-4100.9182743504407</v>
      </c>
      <c r="C179" s="70">
        <f>IF($D$1="SAC",-'Price x SAC x SACRE'!H178,IF('Base dinâmica'!$D$1="Price",-'Price x SAC x SACRE'!C178,IF('Base dinâmica'!$D$1="sacre",-'Price x SAC x SACRE'!M178,0)))</f>
        <v>-688.17241062885114</v>
      </c>
      <c r="D179" s="70">
        <f>IF($D$1="SAC",-'Price x SAC x SACRE'!I178,IF('Base dinâmica'!$D$1="Price",-'Price x SAC x SACRE'!D178,IF('Base dinâmica'!$D$1="sacre",-'Price x SAC x SACRE'!N178,0)))</f>
        <v>-3412.7458637215896</v>
      </c>
      <c r="E179" s="70">
        <f>IF($D$1="SAC",-'Price x SAC x SACRE'!J178,IF('Base dinâmica'!$D$1="Price",-'Price x SAC x SACRE'!E178,IF('Base dinâmica'!$D$1="sacre",-'Price x SAC x SACRE'!O178,0)))</f>
        <v>-358972.52281683544</v>
      </c>
      <c r="F179" s="70">
        <f t="shared" si="70"/>
        <v>20678.405624545321</v>
      </c>
      <c r="G179" s="70">
        <f t="shared" si="71"/>
        <v>-797.912434574087</v>
      </c>
      <c r="H179" s="70">
        <f t="shared" si="72"/>
        <v>-472.60967278619006</v>
      </c>
      <c r="I179" s="70">
        <f t="shared" si="54"/>
        <v>19407.883517185044</v>
      </c>
      <c r="J179" s="123">
        <f t="shared" si="55"/>
        <v>4.0741237836483535E-3</v>
      </c>
      <c r="K179" s="123">
        <f t="shared" si="73"/>
        <v>1.6396356814853741E-2</v>
      </c>
      <c r="L179" s="124">
        <f t="shared" si="53"/>
        <v>0.1075</v>
      </c>
      <c r="M179" s="125">
        <f>+Dashboard!$B$36</f>
        <v>1</v>
      </c>
      <c r="N179" s="160">
        <f t="shared" si="56"/>
        <v>8.5450710394860963E-3</v>
      </c>
      <c r="O179" s="70">
        <f t="shared" si="57"/>
        <v>3377656.993881274</v>
      </c>
    </row>
    <row r="180" spans="1:15" outlineLevel="1" x14ac:dyDescent="0.25">
      <c r="A180" s="122">
        <v>173</v>
      </c>
      <c r="B180" s="70">
        <f>IF($D$1="SAC",-'Price x SAC x SACRE'!G179,IF('Base dinâmica'!$D$1="Price",-'Price x SAC x SACRE'!B179,IF('Base dinâmica'!$D$1="sacre",-'Price x SAC x SACRE'!L179,0)))</f>
        <v>-4100.9182743504407</v>
      </c>
      <c r="C180" s="70">
        <f>IF($D$1="SAC",-'Price x SAC x SACRE'!H179,IF('Base dinâmica'!$D$1="Price",-'Price x SAC x SACRE'!C179,IF('Base dinâmica'!$D$1="sacre",-'Price x SAC x SACRE'!M179,0)))</f>
        <v>-694.70233613660105</v>
      </c>
      <c r="D180" s="70">
        <f>IF($D$1="SAC",-'Price x SAC x SACRE'!I179,IF('Base dinâmica'!$D$1="Price",-'Price x SAC x SACRE'!D179,IF('Base dinâmica'!$D$1="sacre",-'Price x SAC x SACRE'!N179,0)))</f>
        <v>-3406.2159382138393</v>
      </c>
      <c r="E180" s="70">
        <f>IF($D$1="SAC",-'Price x SAC x SACRE'!J179,IF('Base dinâmica'!$D$1="Price",-'Price x SAC x SACRE'!E179,IF('Base dinâmica'!$D$1="sacre",-'Price x SAC x SACRE'!O179,0)))</f>
        <v>-358277.82048069884</v>
      </c>
      <c r="F180" s="70">
        <f t="shared" si="70"/>
        <v>20678.405624545321</v>
      </c>
      <c r="G180" s="70">
        <f t="shared" si="71"/>
        <v>-797.912434574087</v>
      </c>
      <c r="H180" s="70">
        <f t="shared" si="72"/>
        <v>-472.60967278619006</v>
      </c>
      <c r="I180" s="70">
        <f t="shared" si="54"/>
        <v>19407.883517185044</v>
      </c>
      <c r="J180" s="123">
        <f t="shared" si="55"/>
        <v>4.0741237836483535E-3</v>
      </c>
      <c r="K180" s="123">
        <f t="shared" si="73"/>
        <v>2.0537281385766715E-2</v>
      </c>
      <c r="L180" s="124">
        <f t="shared" si="53"/>
        <v>0.1075</v>
      </c>
      <c r="M180" s="125">
        <f>+Dashboard!$B$36</f>
        <v>1</v>
      </c>
      <c r="N180" s="160">
        <f t="shared" si="56"/>
        <v>8.5450710394860963E-3</v>
      </c>
      <c r="O180" s="70">
        <f t="shared" si="57"/>
        <v>3421826.2780838413</v>
      </c>
    </row>
    <row r="181" spans="1:15" outlineLevel="1" x14ac:dyDescent="0.25">
      <c r="A181" s="122">
        <v>174</v>
      </c>
      <c r="B181" s="70">
        <f>IF($D$1="SAC",-'Price x SAC x SACRE'!G180,IF('Base dinâmica'!$D$1="Price",-'Price x SAC x SACRE'!B180,IF('Base dinâmica'!$D$1="sacre",-'Price x SAC x SACRE'!L180,0)))</f>
        <v>-4100.9182743504407</v>
      </c>
      <c r="C181" s="70">
        <f>IF($D$1="SAC",-'Price x SAC x SACRE'!H180,IF('Base dinâmica'!$D$1="Price",-'Price x SAC x SACRE'!C180,IF('Base dinâmica'!$D$1="sacre",-'Price x SAC x SACRE'!M180,0)))</f>
        <v>-701.2942227553724</v>
      </c>
      <c r="D181" s="70">
        <f>IF($D$1="SAC",-'Price x SAC x SACRE'!I180,IF('Base dinâmica'!$D$1="Price",-'Price x SAC x SACRE'!D180,IF('Base dinâmica'!$D$1="sacre",-'Price x SAC x SACRE'!N180,0)))</f>
        <v>-3399.6240515950681</v>
      </c>
      <c r="E181" s="70">
        <f>IF($D$1="SAC",-'Price x SAC x SACRE'!J180,IF('Base dinâmica'!$D$1="Price",-'Price x SAC x SACRE'!E180,IF('Base dinâmica'!$D$1="sacre",-'Price x SAC x SACRE'!O180,0)))</f>
        <v>-357576.52625794348</v>
      </c>
      <c r="F181" s="70">
        <f t="shared" si="70"/>
        <v>20678.405624545321</v>
      </c>
      <c r="G181" s="70">
        <f t="shared" si="71"/>
        <v>-797.912434574087</v>
      </c>
      <c r="H181" s="70">
        <f t="shared" si="72"/>
        <v>-472.60967278619006</v>
      </c>
      <c r="I181" s="70">
        <f t="shared" si="54"/>
        <v>19407.883517185044</v>
      </c>
      <c r="J181" s="123">
        <f t="shared" si="55"/>
        <v>4.0741237836483535E-3</v>
      </c>
      <c r="K181" s="123">
        <f t="shared" si="73"/>
        <v>2.4695076595960375E-2</v>
      </c>
      <c r="L181" s="124">
        <f t="shared" si="53"/>
        <v>0.1075</v>
      </c>
      <c r="M181" s="125">
        <f>+Dashboard!$B$36</f>
        <v>1</v>
      </c>
      <c r="N181" s="160">
        <f t="shared" si="56"/>
        <v>8.5450710394860963E-3</v>
      </c>
      <c r="O181" s="70">
        <f t="shared" si="57"/>
        <v>3466372.9919576827</v>
      </c>
    </row>
    <row r="182" spans="1:15" outlineLevel="1" x14ac:dyDescent="0.25">
      <c r="A182" s="122">
        <v>175</v>
      </c>
      <c r="B182" s="70">
        <f>IF($D$1="SAC",-'Price x SAC x SACRE'!G181,IF('Base dinâmica'!$D$1="Price",-'Price x SAC x SACRE'!B181,IF('Base dinâmica'!$D$1="sacre",-'Price x SAC x SACRE'!L181,0)))</f>
        <v>-4100.9182743504407</v>
      </c>
      <c r="C182" s="70">
        <f>IF($D$1="SAC",-'Price x SAC x SACRE'!H181,IF('Base dinâmica'!$D$1="Price",-'Price x SAC x SACRE'!C181,IF('Base dinâmica'!$D$1="sacre",-'Price x SAC x SACRE'!M181,0)))</f>
        <v>-707.94865842131765</v>
      </c>
      <c r="D182" s="70">
        <f>IF($D$1="SAC",-'Price x SAC x SACRE'!I181,IF('Base dinâmica'!$D$1="Price",-'Price x SAC x SACRE'!D181,IF('Base dinâmica'!$D$1="sacre",-'Price x SAC x SACRE'!N181,0)))</f>
        <v>-3392.9696159291229</v>
      </c>
      <c r="E182" s="70">
        <f>IF($D$1="SAC",-'Price x SAC x SACRE'!J181,IF('Base dinâmica'!$D$1="Price",-'Price x SAC x SACRE'!E181,IF('Base dinâmica'!$D$1="sacre",-'Price x SAC x SACRE'!O181,0)))</f>
        <v>-356868.57759952213</v>
      </c>
      <c r="F182" s="70">
        <f t="shared" si="70"/>
        <v>20678.405624545321</v>
      </c>
      <c r="G182" s="70">
        <f t="shared" si="71"/>
        <v>-797.912434574087</v>
      </c>
      <c r="H182" s="70">
        <f t="shared" si="72"/>
        <v>-472.60967278619006</v>
      </c>
      <c r="I182" s="70">
        <f t="shared" si="54"/>
        <v>19407.883517185044</v>
      </c>
      <c r="J182" s="123">
        <f t="shared" si="55"/>
        <v>4.0741237836483535E-3</v>
      </c>
      <c r="K182" s="123">
        <f t="shared" si="73"/>
        <v>2.8869811178507288E-2</v>
      </c>
      <c r="L182" s="124">
        <f t="shared" si="53"/>
        <v>0.1075</v>
      </c>
      <c r="M182" s="125">
        <f>+Dashboard!$B$36</f>
        <v>1</v>
      </c>
      <c r="N182" s="160">
        <f t="shared" si="56"/>
        <v>8.5450710394860963E-3</v>
      </c>
      <c r="O182" s="70">
        <f t="shared" si="57"/>
        <v>3511300.3606661516</v>
      </c>
    </row>
    <row r="183" spans="1:15" outlineLevel="1" x14ac:dyDescent="0.25">
      <c r="A183" s="122">
        <v>176</v>
      </c>
      <c r="B183" s="70">
        <f>IF($D$1="SAC",-'Price x SAC x SACRE'!G182,IF('Base dinâmica'!$D$1="Price",-'Price x SAC x SACRE'!B182,IF('Base dinâmica'!$D$1="sacre",-'Price x SAC x SACRE'!L182,0)))</f>
        <v>-4100.9182743504398</v>
      </c>
      <c r="C183" s="70">
        <f>IF($D$1="SAC",-'Price x SAC x SACRE'!H182,IF('Base dinâmica'!$D$1="Price",-'Price x SAC x SACRE'!C182,IF('Base dinâmica'!$D$1="sacre",-'Price x SAC x SACRE'!M182,0)))</f>
        <v>-714.66623664939323</v>
      </c>
      <c r="D183" s="70">
        <f>IF($D$1="SAC",-'Price x SAC x SACRE'!I182,IF('Base dinâmica'!$D$1="Price",-'Price x SAC x SACRE'!D182,IF('Base dinâmica'!$D$1="sacre",-'Price x SAC x SACRE'!N182,0)))</f>
        <v>-3386.2520377010469</v>
      </c>
      <c r="E183" s="70">
        <f>IF($D$1="SAC",-'Price x SAC x SACRE'!J182,IF('Base dinâmica'!$D$1="Price",-'Price x SAC x SACRE'!E182,IF('Base dinâmica'!$D$1="sacre",-'Price x SAC x SACRE'!O182,0)))</f>
        <v>-356153.91136287275</v>
      </c>
      <c r="F183" s="70">
        <f t="shared" si="70"/>
        <v>20678.405624545321</v>
      </c>
      <c r="G183" s="70">
        <f t="shared" si="71"/>
        <v>-797.912434574087</v>
      </c>
      <c r="H183" s="70">
        <f t="shared" si="72"/>
        <v>-472.60967278619006</v>
      </c>
      <c r="I183" s="70">
        <f t="shared" si="54"/>
        <v>19407.883517185044</v>
      </c>
      <c r="J183" s="123">
        <f t="shared" si="55"/>
        <v>4.0741237836483535E-3</v>
      </c>
      <c r="K183" s="123">
        <f t="shared" si="73"/>
        <v>3.3061554146507355E-2</v>
      </c>
      <c r="L183" s="124">
        <f t="shared" si="53"/>
        <v>0.1075</v>
      </c>
      <c r="M183" s="125">
        <f>+Dashboard!$B$36</f>
        <v>1</v>
      </c>
      <c r="N183" s="160">
        <f t="shared" si="56"/>
        <v>8.5450710394860963E-3</v>
      </c>
      <c r="O183" s="70">
        <f t="shared" si="57"/>
        <v>3556611.636931852</v>
      </c>
    </row>
    <row r="184" spans="1:15" outlineLevel="1" x14ac:dyDescent="0.25">
      <c r="A184" s="122">
        <v>177</v>
      </c>
      <c r="B184" s="70">
        <f>IF($D$1="SAC",-'Price x SAC x SACRE'!G183,IF('Base dinâmica'!$D$1="Price",-'Price x SAC x SACRE'!B183,IF('Base dinâmica'!$D$1="sacre",-'Price x SAC x SACRE'!L183,0)))</f>
        <v>-4100.9182743504407</v>
      </c>
      <c r="C184" s="70">
        <f>IF($D$1="SAC",-'Price x SAC x SACRE'!H183,IF('Base dinâmica'!$D$1="Price",-'Price x SAC x SACRE'!C183,IF('Base dinâmica'!$D$1="sacre",-'Price x SAC x SACRE'!M183,0)))</f>
        <v>-721.44755658629708</v>
      </c>
      <c r="D184" s="70">
        <f>IF($D$1="SAC",-'Price x SAC x SACRE'!I183,IF('Base dinâmica'!$D$1="Price",-'Price x SAC x SACRE'!D183,IF('Base dinâmica'!$D$1="sacre",-'Price x SAC x SACRE'!N183,0)))</f>
        <v>-3379.4707177641435</v>
      </c>
      <c r="E184" s="70">
        <f>IF($D$1="SAC",-'Price x SAC x SACRE'!J183,IF('Base dinâmica'!$D$1="Price",-'Price x SAC x SACRE'!E183,IF('Base dinâmica'!$D$1="sacre",-'Price x SAC x SACRE'!O183,0)))</f>
        <v>-355432.46380628645</v>
      </c>
      <c r="F184" s="70">
        <f t="shared" si="70"/>
        <v>20678.405624545321</v>
      </c>
      <c r="G184" s="70">
        <f t="shared" si="71"/>
        <v>-797.912434574087</v>
      </c>
      <c r="H184" s="70">
        <f t="shared" si="72"/>
        <v>-472.60967278619006</v>
      </c>
      <c r="I184" s="70">
        <f t="shared" si="54"/>
        <v>19407.883517185044</v>
      </c>
      <c r="J184" s="123">
        <f t="shared" si="55"/>
        <v>4.0741237836483535E-3</v>
      </c>
      <c r="K184" s="123">
        <f t="shared" si="73"/>
        <v>3.7270374794228456E-2</v>
      </c>
      <c r="L184" s="124">
        <f t="shared" si="53"/>
        <v>0.1075</v>
      </c>
      <c r="M184" s="125">
        <f>+Dashboard!$B$36</f>
        <v>1</v>
      </c>
      <c r="N184" s="160">
        <f t="shared" si="56"/>
        <v>8.5450710394860963E-3</v>
      </c>
      <c r="O184" s="70">
        <f t="shared" si="57"/>
        <v>3602310.1012721322</v>
      </c>
    </row>
    <row r="185" spans="1:15" outlineLevel="1" x14ac:dyDescent="0.25">
      <c r="A185" s="122">
        <v>178</v>
      </c>
      <c r="B185" s="70">
        <f>IF($D$1="SAC",-'Price x SAC x SACRE'!G184,IF('Base dinâmica'!$D$1="Price",-'Price x SAC x SACRE'!B184,IF('Base dinâmica'!$D$1="sacre",-'Price x SAC x SACRE'!L184,0)))</f>
        <v>-4100.9182743504407</v>
      </c>
      <c r="C185" s="70">
        <f>IF($D$1="SAC",-'Price x SAC x SACRE'!H184,IF('Base dinâmica'!$D$1="Price",-'Price x SAC x SACRE'!C184,IF('Base dinâmica'!$D$1="sacre",-'Price x SAC x SACRE'!M184,0)))</f>
        <v>-728.29322306390532</v>
      </c>
      <c r="D185" s="70">
        <f>IF($D$1="SAC",-'Price x SAC x SACRE'!I184,IF('Base dinâmica'!$D$1="Price",-'Price x SAC x SACRE'!D184,IF('Base dinâmica'!$D$1="sacre",-'Price x SAC x SACRE'!N184,0)))</f>
        <v>-3372.6250512865349</v>
      </c>
      <c r="E185" s="70">
        <f>IF($D$1="SAC",-'Price x SAC x SACRE'!J184,IF('Base dinâmica'!$D$1="Price",-'Price x SAC x SACRE'!E184,IF('Base dinâmica'!$D$1="sacre",-'Price x SAC x SACRE'!O184,0)))</f>
        <v>-354704.17058322253</v>
      </c>
      <c r="F185" s="70">
        <f t="shared" si="70"/>
        <v>20678.405624545321</v>
      </c>
      <c r="G185" s="70">
        <f t="shared" si="71"/>
        <v>-797.912434574087</v>
      </c>
      <c r="H185" s="70">
        <f t="shared" si="72"/>
        <v>-472.60967278619006</v>
      </c>
      <c r="I185" s="70">
        <f t="shared" si="54"/>
        <v>19407.883517185044</v>
      </c>
      <c r="J185" s="123">
        <f t="shared" si="55"/>
        <v>4.0741237836483535E-3</v>
      </c>
      <c r="K185" s="123">
        <f t="shared" si="73"/>
        <v>4.1496342698251532E-2</v>
      </c>
      <c r="L185" s="124">
        <f t="shared" si="53"/>
        <v>0.1075</v>
      </c>
      <c r="M185" s="125">
        <f>+Dashboard!$B$36</f>
        <v>1</v>
      </c>
      <c r="N185" s="160">
        <f t="shared" si="56"/>
        <v>8.5450710394860963E-3</v>
      </c>
      <c r="O185" s="70">
        <f t="shared" si="57"/>
        <v>3648399.0622365959</v>
      </c>
    </row>
    <row r="186" spans="1:15" outlineLevel="1" x14ac:dyDescent="0.25">
      <c r="A186" s="122">
        <v>179</v>
      </c>
      <c r="B186" s="70">
        <f>IF($D$1="SAC",-'Price x SAC x SACRE'!G185,IF('Base dinâmica'!$D$1="Price",-'Price x SAC x SACRE'!B185,IF('Base dinâmica'!$D$1="sacre",-'Price x SAC x SACRE'!L185,0)))</f>
        <v>-4100.9182743504398</v>
      </c>
      <c r="C186" s="70">
        <f>IF($D$1="SAC",-'Price x SAC x SACRE'!H185,IF('Base dinâmica'!$D$1="Price",-'Price x SAC x SACRE'!C185,IF('Base dinâmica'!$D$1="sacre",-'Price x SAC x SACRE'!M185,0)))</f>
        <v>-735.20384665321876</v>
      </c>
      <c r="D186" s="70">
        <f>IF($D$1="SAC",-'Price x SAC x SACRE'!I185,IF('Base dinâmica'!$D$1="Price",-'Price x SAC x SACRE'!D185,IF('Base dinâmica'!$D$1="sacre",-'Price x SAC x SACRE'!N185,0)))</f>
        <v>-3365.7144276972213</v>
      </c>
      <c r="E186" s="70">
        <f>IF($D$1="SAC",-'Price x SAC x SACRE'!J185,IF('Base dinâmica'!$D$1="Price",-'Price x SAC x SACRE'!E185,IF('Base dinâmica'!$D$1="sacre",-'Price x SAC x SACRE'!O185,0)))</f>
        <v>-353968.9667365693</v>
      </c>
      <c r="F186" s="70">
        <f t="shared" si="70"/>
        <v>20678.405624545321</v>
      </c>
      <c r="G186" s="70">
        <f t="shared" si="71"/>
        <v>-797.912434574087</v>
      </c>
      <c r="H186" s="70">
        <v>0</v>
      </c>
      <c r="I186" s="70">
        <f t="shared" si="54"/>
        <v>19880.493189971236</v>
      </c>
      <c r="J186" s="123">
        <f t="shared" si="55"/>
        <v>4.0741237836483535E-3</v>
      </c>
      <c r="K186" s="123">
        <f t="shared" si="73"/>
        <v>4.573952771862122E-2</v>
      </c>
      <c r="L186" s="124">
        <f t="shared" si="53"/>
        <v>0.1075</v>
      </c>
      <c r="M186" s="125">
        <f>+Dashboard!$B$36</f>
        <v>1</v>
      </c>
      <c r="N186" s="160">
        <f t="shared" si="56"/>
        <v>8.5450710394860963E-3</v>
      </c>
      <c r="O186" s="70">
        <f t="shared" si="57"/>
        <v>3695354.4663194232</v>
      </c>
    </row>
    <row r="187" spans="1:15" s="53" customFormat="1" x14ac:dyDescent="0.25">
      <c r="A187" s="68">
        <v>180</v>
      </c>
      <c r="B187" s="64">
        <f>IF($D$1="SAC",-'Price x SAC x SACRE'!G186,IF('Base dinâmica'!$D$1="Price",-'Price x SAC x SACRE'!B186,IF('Base dinâmica'!$D$1="sacre",-'Price x SAC x SACRE'!L186,0)))</f>
        <v>-4100.9182743504398</v>
      </c>
      <c r="C187" s="64">
        <f>IF($D$1="SAC",-'Price x SAC x SACRE'!H186,IF('Base dinâmica'!$D$1="Price",-'Price x SAC x SACRE'!C186,IF('Base dinâmica'!$D$1="sacre",-'Price x SAC x SACRE'!M186,0)))</f>
        <v>-742.18004371882012</v>
      </c>
      <c r="D187" s="64">
        <f>IF($D$1="SAC",-'Price x SAC x SACRE'!I186,IF('Base dinâmica'!$D$1="Price",-'Price x SAC x SACRE'!D186,IF('Base dinâmica'!$D$1="sacre",-'Price x SAC x SACRE'!N186,0)))</f>
        <v>-3358.7382306316199</v>
      </c>
      <c r="E187" s="64">
        <f>IF($D$1="SAC",-'Price x SAC x SACRE'!J186,IF('Base dinâmica'!$D$1="Price",-'Price x SAC x SACRE'!E186,IF('Base dinâmica'!$D$1="sacre",-'Price x SAC x SACRE'!O186,0)))</f>
        <v>-353226.78669285047</v>
      </c>
      <c r="F187" s="64">
        <f>+F186</f>
        <v>20678.405624545321</v>
      </c>
      <c r="G187" s="64">
        <f>+G186</f>
        <v>-797.912434574087</v>
      </c>
      <c r="H187" s="64">
        <v>0</v>
      </c>
      <c r="I187" s="64">
        <f t="shared" si="54"/>
        <v>19880.493189971236</v>
      </c>
      <c r="J187" s="119">
        <f t="shared" si="55"/>
        <v>4.0741237836483535E-3</v>
      </c>
      <c r="K187" s="119">
        <f t="shared" si="73"/>
        <v>5.0000000000000933E-2</v>
      </c>
      <c r="L187" s="120">
        <f t="shared" si="53"/>
        <v>0.1075</v>
      </c>
      <c r="M187" s="121">
        <f>+Dashboard!$B$36</f>
        <v>1</v>
      </c>
      <c r="N187" s="160">
        <f t="shared" si="56"/>
        <v>8.5450710394860963E-3</v>
      </c>
      <c r="O187" s="64">
        <f t="shared" si="57"/>
        <v>3742711.1076658256</v>
      </c>
    </row>
    <row r="188" spans="1:15" outlineLevel="1" x14ac:dyDescent="0.25">
      <c r="A188" s="122">
        <v>181</v>
      </c>
      <c r="B188" s="70">
        <f>IF($D$1="SAC",-'Price x SAC x SACRE'!G187,IF('Base dinâmica'!$D$1="Price",-'Price x SAC x SACRE'!B187,IF('Base dinâmica'!$D$1="sacre",-'Price x SAC x SACRE'!L187,0)))</f>
        <v>-4100.9182743504398</v>
      </c>
      <c r="C188" s="70">
        <f>IF($D$1="SAC",-'Price x SAC x SACRE'!H187,IF('Base dinâmica'!$D$1="Price",-'Price x SAC x SACRE'!C187,IF('Base dinâmica'!$D$1="sacre",-'Price x SAC x SACRE'!M187,0)))</f>
        <v>-749.22243647384801</v>
      </c>
      <c r="D188" s="70">
        <f>IF($D$1="SAC",-'Price x SAC x SACRE'!I187,IF('Base dinâmica'!$D$1="Price",-'Price x SAC x SACRE'!D187,IF('Base dinâmica'!$D$1="sacre",-'Price x SAC x SACRE'!N187,0)))</f>
        <v>-3351.6958378765921</v>
      </c>
      <c r="E188" s="70">
        <f>IF($D$1="SAC",-'Price x SAC x SACRE'!J187,IF('Base dinâmica'!$D$1="Price",-'Price x SAC x SACRE'!E187,IF('Base dinâmica'!$D$1="sacre",-'Price x SAC x SACRE'!O187,0)))</f>
        <v>-352477.56425637665</v>
      </c>
      <c r="F188" s="70">
        <f>+F187*(1+K187)</f>
        <v>21712.325905772606</v>
      </c>
      <c r="G188" s="70">
        <f>+G187*(1+K187)</f>
        <v>-837.80805630279212</v>
      </c>
      <c r="H188" s="70">
        <f>+H185*(1+K187)</f>
        <v>-496.2401564255</v>
      </c>
      <c r="I188" s="70">
        <f t="shared" ref="I188:I192" si="74">+F188+G188+H188</f>
        <v>20378.277693044314</v>
      </c>
      <c r="J188" s="123">
        <f t="shared" si="55"/>
        <v>4.0741237836483535E-3</v>
      </c>
      <c r="K188" s="123">
        <f>+J188</f>
        <v>4.0741237836483535E-3</v>
      </c>
      <c r="L188" s="124">
        <f t="shared" si="53"/>
        <v>0.1075</v>
      </c>
      <c r="M188" s="125">
        <f>+Dashboard!$B$36</f>
        <v>1</v>
      </c>
      <c r="N188" s="160">
        <f t="shared" si="56"/>
        <v>8.5450710394860963E-3</v>
      </c>
      <c r="O188" s="70">
        <f t="shared" si="57"/>
        <v>3790970.1993797976</v>
      </c>
    </row>
    <row r="189" spans="1:15" outlineLevel="1" x14ac:dyDescent="0.25">
      <c r="A189" s="122">
        <v>182</v>
      </c>
      <c r="B189" s="70">
        <f>IF($D$1="SAC",-'Price x SAC x SACRE'!G188,IF('Base dinâmica'!$D$1="Price",-'Price x SAC x SACRE'!B188,IF('Base dinâmica'!$D$1="sacre",-'Price x SAC x SACRE'!L188,0)))</f>
        <v>-4100.9182743504407</v>
      </c>
      <c r="C189" s="70">
        <f>IF($D$1="SAC",-'Price x SAC x SACRE'!H188,IF('Base dinâmica'!$D$1="Price",-'Price x SAC x SACRE'!C188,IF('Base dinâmica'!$D$1="sacre",-'Price x SAC x SACRE'!M188,0)))</f>
        <v>-756.33165303549208</v>
      </c>
      <c r="D189" s="70">
        <f>IF($D$1="SAC",-'Price x SAC x SACRE'!I188,IF('Base dinâmica'!$D$1="Price",-'Price x SAC x SACRE'!D188,IF('Base dinâmica'!$D$1="sacre",-'Price x SAC x SACRE'!N188,0)))</f>
        <v>-3344.5866213149484</v>
      </c>
      <c r="E189" s="70">
        <f>IF($D$1="SAC",-'Price x SAC x SACRE'!J188,IF('Base dinâmica'!$D$1="Price",-'Price x SAC x SACRE'!E188,IF('Base dinâmica'!$D$1="sacre",-'Price x SAC x SACRE'!O188,0)))</f>
        <v>-351721.23260334117</v>
      </c>
      <c r="F189" s="70">
        <f>+F188</f>
        <v>21712.325905772606</v>
      </c>
      <c r="G189" s="70">
        <f>+G188</f>
        <v>-837.80805630279212</v>
      </c>
      <c r="H189" s="70">
        <f>+H188</f>
        <v>-496.2401564255</v>
      </c>
      <c r="I189" s="70">
        <f t="shared" si="74"/>
        <v>20378.277693044314</v>
      </c>
      <c r="J189" s="123">
        <f t="shared" si="55"/>
        <v>4.0741237836483535E-3</v>
      </c>
      <c r="K189" s="123">
        <f>((+K188+1)*(J189+1))-1</f>
        <v>8.1648460519012644E-3</v>
      </c>
      <c r="L189" s="124">
        <f t="shared" si="53"/>
        <v>0.1075</v>
      </c>
      <c r="M189" s="125">
        <f>+Dashboard!$B$36</f>
        <v>1</v>
      </c>
      <c r="N189" s="160">
        <f t="shared" si="56"/>
        <v>8.5450710394860963E-3</v>
      </c>
      <c r="O189" s="70">
        <f t="shared" si="57"/>
        <v>3839641.6684607668</v>
      </c>
    </row>
    <row r="190" spans="1:15" outlineLevel="1" x14ac:dyDescent="0.25">
      <c r="A190" s="122">
        <v>183</v>
      </c>
      <c r="B190" s="70">
        <f>IF($D$1="SAC",-'Price x SAC x SACRE'!G189,IF('Base dinâmica'!$D$1="Price",-'Price x SAC x SACRE'!B189,IF('Base dinâmica'!$D$1="sacre",-'Price x SAC x SACRE'!L189,0)))</f>
        <v>-4100.9182743504398</v>
      </c>
      <c r="C190" s="70">
        <f>IF($D$1="SAC",-'Price x SAC x SACRE'!H189,IF('Base dinâmica'!$D$1="Price",-'Price x SAC x SACRE'!C189,IF('Base dinâmica'!$D$1="sacre",-'Price x SAC x SACRE'!M189,0)))</f>
        <v>-763.50832748101652</v>
      </c>
      <c r="D190" s="70">
        <f>IF($D$1="SAC",-'Price x SAC x SACRE'!I189,IF('Base dinâmica'!$D$1="Price",-'Price x SAC x SACRE'!D189,IF('Base dinâmica'!$D$1="sacre",-'Price x SAC x SACRE'!N189,0)))</f>
        <v>-3337.4099468694235</v>
      </c>
      <c r="E190" s="70">
        <f>IF($D$1="SAC",-'Price x SAC x SACRE'!J189,IF('Base dinâmica'!$D$1="Price",-'Price x SAC x SACRE'!E189,IF('Base dinâmica'!$D$1="sacre",-'Price x SAC x SACRE'!O189,0)))</f>
        <v>-350957.72427586018</v>
      </c>
      <c r="F190" s="70">
        <f t="shared" ref="F190:F198" si="75">+F189</f>
        <v>21712.325905772606</v>
      </c>
      <c r="G190" s="70">
        <f t="shared" ref="G190:G198" si="76">+G189</f>
        <v>-837.80805630279212</v>
      </c>
      <c r="H190" s="70">
        <f t="shared" ref="H190:H197" si="77">+H189</f>
        <v>-496.2401564255</v>
      </c>
      <c r="I190" s="70">
        <f t="shared" si="74"/>
        <v>20378.277693044314</v>
      </c>
      <c r="J190" s="123">
        <f t="shared" si="55"/>
        <v>4.0741237836483535E-3</v>
      </c>
      <c r="K190" s="123">
        <f t="shared" ref="K190:K199" si="78">((+K189+1)*(J190+1))-1</f>
        <v>1.2272234429039575E-2</v>
      </c>
      <c r="L190" s="124">
        <f t="shared" si="53"/>
        <v>0.1075</v>
      </c>
      <c r="M190" s="125">
        <f>+Dashboard!$B$36</f>
        <v>1</v>
      </c>
      <c r="N190" s="160">
        <f t="shared" si="56"/>
        <v>8.5450710394860963E-3</v>
      </c>
      <c r="O190" s="70">
        <f t="shared" si="57"/>
        <v>3888729.038702629</v>
      </c>
    </row>
    <row r="191" spans="1:15" outlineLevel="1" x14ac:dyDescent="0.25">
      <c r="A191" s="122">
        <v>184</v>
      </c>
      <c r="B191" s="70">
        <f>IF($D$1="SAC",-'Price x SAC x SACRE'!G190,IF('Base dinâmica'!$D$1="Price",-'Price x SAC x SACRE'!B190,IF('Base dinâmica'!$D$1="sacre",-'Price x SAC x SACRE'!L190,0)))</f>
        <v>-4100.9182743504407</v>
      </c>
      <c r="C191" s="70">
        <f>IF($D$1="SAC",-'Price x SAC x SACRE'!H190,IF('Base dinâmica'!$D$1="Price",-'Price x SAC x SACRE'!C190,IF('Base dinâmica'!$D$1="sacre",-'Price x SAC x SACRE'!M190,0)))</f>
        <v>-770.75309990431379</v>
      </c>
      <c r="D191" s="70">
        <f>IF($D$1="SAC",-'Price x SAC x SACRE'!I190,IF('Base dinâmica'!$D$1="Price",-'Price x SAC x SACRE'!D190,IF('Base dinâmica'!$D$1="sacre",-'Price x SAC x SACRE'!N190,0)))</f>
        <v>-3330.1651744461269</v>
      </c>
      <c r="E191" s="70">
        <f>IF($D$1="SAC",-'Price x SAC x SACRE'!J190,IF('Base dinâmica'!$D$1="Price",-'Price x SAC x SACRE'!E190,IF('Base dinâmica'!$D$1="sacre",-'Price x SAC x SACRE'!O190,0)))</f>
        <v>-350186.97117595584</v>
      </c>
      <c r="F191" s="70">
        <f t="shared" si="75"/>
        <v>21712.325905772606</v>
      </c>
      <c r="G191" s="70">
        <f t="shared" si="76"/>
        <v>-837.80805630279212</v>
      </c>
      <c r="H191" s="70">
        <f t="shared" si="77"/>
        <v>-496.2401564255</v>
      </c>
      <c r="I191" s="70">
        <f t="shared" si="74"/>
        <v>20378.277693044314</v>
      </c>
      <c r="J191" s="123">
        <f t="shared" si="55"/>
        <v>4.0741237836483535E-3</v>
      </c>
      <c r="K191" s="123">
        <f t="shared" si="78"/>
        <v>1.6396356814853741E-2</v>
      </c>
      <c r="L191" s="124">
        <f t="shared" si="53"/>
        <v>0.1075</v>
      </c>
      <c r="M191" s="125">
        <f>+Dashboard!$B$36</f>
        <v>1</v>
      </c>
      <c r="N191" s="160">
        <f t="shared" si="56"/>
        <v>8.5450710394860963E-3</v>
      </c>
      <c r="O191" s="70">
        <f t="shared" si="57"/>
        <v>3938235.8640103494</v>
      </c>
    </row>
    <row r="192" spans="1:15" outlineLevel="1" x14ac:dyDescent="0.25">
      <c r="A192" s="122">
        <v>185</v>
      </c>
      <c r="B192" s="70">
        <f>IF($D$1="SAC",-'Price x SAC x SACRE'!G191,IF('Base dinâmica'!$D$1="Price",-'Price x SAC x SACRE'!B191,IF('Base dinâmica'!$D$1="sacre",-'Price x SAC x SACRE'!L191,0)))</f>
        <v>-4100.9182743504407</v>
      </c>
      <c r="C192" s="70">
        <f>IF($D$1="SAC",-'Price x SAC x SACRE'!H191,IF('Base dinâmica'!$D$1="Price",-'Price x SAC x SACRE'!C191,IF('Base dinâmica'!$D$1="sacre",-'Price x SAC x SACRE'!M191,0)))</f>
        <v>-778.06661647299404</v>
      </c>
      <c r="D192" s="70">
        <f>IF($D$1="SAC",-'Price x SAC x SACRE'!I191,IF('Base dinâmica'!$D$1="Price",-'Price x SAC x SACRE'!D191,IF('Base dinâmica'!$D$1="sacre",-'Price x SAC x SACRE'!N191,0)))</f>
        <v>-3322.8516578774465</v>
      </c>
      <c r="E192" s="70">
        <f>IF($D$1="SAC",-'Price x SAC x SACRE'!J191,IF('Base dinâmica'!$D$1="Price",-'Price x SAC x SACRE'!E191,IF('Base dinâmica'!$D$1="sacre",-'Price x SAC x SACRE'!O191,0)))</f>
        <v>-349408.90455948282</v>
      </c>
      <c r="F192" s="70">
        <f t="shared" si="75"/>
        <v>21712.325905772606</v>
      </c>
      <c r="G192" s="70">
        <f t="shared" si="76"/>
        <v>-837.80805630279212</v>
      </c>
      <c r="H192" s="70">
        <f t="shared" si="77"/>
        <v>-496.2401564255</v>
      </c>
      <c r="I192" s="70">
        <f t="shared" si="74"/>
        <v>20378.277693044314</v>
      </c>
      <c r="J192" s="123">
        <f t="shared" si="55"/>
        <v>4.0741237836483535E-3</v>
      </c>
      <c r="K192" s="123">
        <f t="shared" si="78"/>
        <v>2.0537281385766715E-2</v>
      </c>
      <c r="L192" s="124">
        <f t="shared" si="53"/>
        <v>0.1075</v>
      </c>
      <c r="M192" s="125">
        <f>+Dashboard!$B$36</f>
        <v>1</v>
      </c>
      <c r="N192" s="160">
        <f t="shared" si="56"/>
        <v>8.5450710394860963E-3</v>
      </c>
      <c r="O192" s="70">
        <f t="shared" si="57"/>
        <v>3988165.7286572638</v>
      </c>
    </row>
    <row r="193" spans="1:15" outlineLevel="1" x14ac:dyDescent="0.25">
      <c r="A193" s="122">
        <v>186</v>
      </c>
      <c r="B193" s="70">
        <f>IF($D$1="SAC",-'Price x SAC x SACRE'!G192,IF('Base dinâmica'!$D$1="Price",-'Price x SAC x SACRE'!B192,IF('Base dinâmica'!$D$1="sacre",-'Price x SAC x SACRE'!L192,0)))</f>
        <v>-4100.9182743504398</v>
      </c>
      <c r="C193" s="70">
        <f>IF($D$1="SAC",-'Price x SAC x SACRE'!H192,IF('Base dinâmica'!$D$1="Price",-'Price x SAC x SACRE'!C192,IF('Base dinâmica'!$D$1="sacre",-'Price x SAC x SACRE'!M192,0)))</f>
        <v>-785.4495294860177</v>
      </c>
      <c r="D193" s="70">
        <f>IF($D$1="SAC",-'Price x SAC x SACRE'!I192,IF('Base dinâmica'!$D$1="Price",-'Price x SAC x SACRE'!D192,IF('Base dinâmica'!$D$1="sacre",-'Price x SAC x SACRE'!N192,0)))</f>
        <v>-3315.4687448644222</v>
      </c>
      <c r="E193" s="70">
        <f>IF($D$1="SAC",-'Price x SAC x SACRE'!J192,IF('Base dinâmica'!$D$1="Price",-'Price x SAC x SACRE'!E192,IF('Base dinâmica'!$D$1="sacre",-'Price x SAC x SACRE'!O192,0)))</f>
        <v>-348623.45502999681</v>
      </c>
      <c r="F193" s="70">
        <f t="shared" si="75"/>
        <v>21712.325905772606</v>
      </c>
      <c r="G193" s="70">
        <f t="shared" si="76"/>
        <v>-837.80805630279212</v>
      </c>
      <c r="H193" s="70">
        <f t="shared" si="77"/>
        <v>-496.2401564255</v>
      </c>
      <c r="I193" s="70">
        <f t="shared" ref="I193:I220" si="79">+F193+G193+H193</f>
        <v>20378.277693044314</v>
      </c>
      <c r="J193" s="123">
        <f t="shared" si="55"/>
        <v>4.0741237836483535E-3</v>
      </c>
      <c r="K193" s="123">
        <f t="shared" si="78"/>
        <v>2.4695076595960375E-2</v>
      </c>
      <c r="L193" s="124">
        <f t="shared" si="53"/>
        <v>0.1075</v>
      </c>
      <c r="M193" s="125">
        <f>+Dashboard!$B$36</f>
        <v>1</v>
      </c>
      <c r="N193" s="160">
        <f t="shared" si="56"/>
        <v>8.5450710394860963E-3</v>
      </c>
      <c r="O193" s="70">
        <f t="shared" si="57"/>
        <v>4038522.2475445778</v>
      </c>
    </row>
    <row r="194" spans="1:15" outlineLevel="1" x14ac:dyDescent="0.25">
      <c r="A194" s="122">
        <v>187</v>
      </c>
      <c r="B194" s="70">
        <f>IF($D$1="SAC",-'Price x SAC x SACRE'!G193,IF('Base dinâmica'!$D$1="Price",-'Price x SAC x SACRE'!B193,IF('Base dinâmica'!$D$1="sacre",-'Price x SAC x SACRE'!L193,0)))</f>
        <v>-4100.9182743504407</v>
      </c>
      <c r="C194" s="70">
        <f>IF($D$1="SAC",-'Price x SAC x SACRE'!H193,IF('Base dinâmica'!$D$1="Price",-'Price x SAC x SACRE'!C193,IF('Base dinâmica'!$D$1="sacre",-'Price x SAC x SACRE'!M193,0)))</f>
        <v>-792.90249743187633</v>
      </c>
      <c r="D194" s="70">
        <f>IF($D$1="SAC",-'Price x SAC x SACRE'!I193,IF('Base dinâmica'!$D$1="Price",-'Price x SAC x SACRE'!D193,IF('Base dinâmica'!$D$1="sacre",-'Price x SAC x SACRE'!N193,0)))</f>
        <v>-3308.0157769185639</v>
      </c>
      <c r="E194" s="70">
        <f>IF($D$1="SAC",-'Price x SAC x SACRE'!J193,IF('Base dinâmica'!$D$1="Price",-'Price x SAC x SACRE'!E193,IF('Base dinâmica'!$D$1="sacre",-'Price x SAC x SACRE'!O193,0)))</f>
        <v>-347830.55253256491</v>
      </c>
      <c r="F194" s="70">
        <f t="shared" si="75"/>
        <v>21712.325905772606</v>
      </c>
      <c r="G194" s="70">
        <f t="shared" si="76"/>
        <v>-837.80805630279212</v>
      </c>
      <c r="H194" s="70">
        <f t="shared" si="77"/>
        <v>-496.2401564255</v>
      </c>
      <c r="I194" s="70">
        <f t="shared" si="79"/>
        <v>20378.277693044314</v>
      </c>
      <c r="J194" s="123">
        <f t="shared" si="55"/>
        <v>4.0741237836483535E-3</v>
      </c>
      <c r="K194" s="123">
        <f t="shared" si="78"/>
        <v>2.8869811178507288E-2</v>
      </c>
      <c r="L194" s="124">
        <f t="shared" si="53"/>
        <v>0.1075</v>
      </c>
      <c r="M194" s="125">
        <f>+Dashboard!$B$36</f>
        <v>1</v>
      </c>
      <c r="N194" s="160">
        <f t="shared" si="56"/>
        <v>8.5450710394860963E-3</v>
      </c>
      <c r="O194" s="70">
        <f t="shared" si="57"/>
        <v>4089309.0664630854</v>
      </c>
    </row>
    <row r="195" spans="1:15" outlineLevel="1" x14ac:dyDescent="0.25">
      <c r="A195" s="122">
        <v>188</v>
      </c>
      <c r="B195" s="70">
        <f>IF($D$1="SAC",-'Price x SAC x SACRE'!G194,IF('Base dinâmica'!$D$1="Price",-'Price x SAC x SACRE'!B194,IF('Base dinâmica'!$D$1="sacre",-'Price x SAC x SACRE'!L194,0)))</f>
        <v>-4100.9182743504407</v>
      </c>
      <c r="C195" s="70">
        <f>IF($D$1="SAC",-'Price x SAC x SACRE'!H194,IF('Base dinâmica'!$D$1="Price",-'Price x SAC x SACRE'!C194,IF('Base dinâmica'!$D$1="sacre",-'Price x SAC x SACRE'!M194,0)))</f>
        <v>-800.42618504732127</v>
      </c>
      <c r="D195" s="70">
        <f>IF($D$1="SAC",-'Price x SAC x SACRE'!I194,IF('Base dinâmica'!$D$1="Price",-'Price x SAC x SACRE'!D194,IF('Base dinâmica'!$D$1="sacre",-'Price x SAC x SACRE'!N194,0)))</f>
        <v>-3300.492089303119</v>
      </c>
      <c r="E195" s="70">
        <f>IF($D$1="SAC",-'Price x SAC x SACRE'!J194,IF('Base dinâmica'!$D$1="Price",-'Price x SAC x SACRE'!E194,IF('Base dinâmica'!$D$1="sacre",-'Price x SAC x SACRE'!O194,0)))</f>
        <v>-347030.12634751759</v>
      </c>
      <c r="F195" s="70">
        <f t="shared" si="75"/>
        <v>21712.325905772606</v>
      </c>
      <c r="G195" s="70">
        <f t="shared" si="76"/>
        <v>-837.80805630279212</v>
      </c>
      <c r="H195" s="70">
        <f t="shared" si="77"/>
        <v>-496.2401564255</v>
      </c>
      <c r="I195" s="70">
        <f t="shared" si="79"/>
        <v>20378.277693044314</v>
      </c>
      <c r="J195" s="123">
        <f t="shared" si="55"/>
        <v>4.0741237836483535E-3</v>
      </c>
      <c r="K195" s="123">
        <f t="shared" si="78"/>
        <v>3.3061554146507355E-2</v>
      </c>
      <c r="L195" s="124">
        <f t="shared" si="53"/>
        <v>0.1075</v>
      </c>
      <c r="M195" s="125">
        <f>+Dashboard!$B$36</f>
        <v>1</v>
      </c>
      <c r="N195" s="160">
        <f t="shared" si="56"/>
        <v>8.5450710394860963E-3</v>
      </c>
      <c r="O195" s="70">
        <f t="shared" si="57"/>
        <v>4140529.862357121</v>
      </c>
    </row>
    <row r="196" spans="1:15" outlineLevel="1" x14ac:dyDescent="0.25">
      <c r="A196" s="122">
        <v>189</v>
      </c>
      <c r="B196" s="70">
        <f>IF($D$1="SAC",-'Price x SAC x SACRE'!G195,IF('Base dinâmica'!$D$1="Price",-'Price x SAC x SACRE'!B195,IF('Base dinâmica'!$D$1="sacre",-'Price x SAC x SACRE'!L195,0)))</f>
        <v>-4100.9182743504398</v>
      </c>
      <c r="C196" s="70">
        <f>IF($D$1="SAC",-'Price x SAC x SACRE'!H195,IF('Base dinâmica'!$D$1="Price",-'Price x SAC x SACRE'!C195,IF('Base dinâmica'!$D$1="sacre",-'Price x SAC x SACRE'!M195,0)))</f>
        <v>-808.02126337665345</v>
      </c>
      <c r="D196" s="70">
        <f>IF($D$1="SAC",-'Price x SAC x SACRE'!I195,IF('Base dinâmica'!$D$1="Price",-'Price x SAC x SACRE'!D195,IF('Base dinâmica'!$D$1="sacre",-'Price x SAC x SACRE'!N195,0)))</f>
        <v>-3292.8970109737866</v>
      </c>
      <c r="E196" s="70">
        <f>IF($D$1="SAC",-'Price x SAC x SACRE'!J195,IF('Base dinâmica'!$D$1="Price",-'Price x SAC x SACRE'!E195,IF('Base dinâmica'!$D$1="sacre",-'Price x SAC x SACRE'!O195,0)))</f>
        <v>-346222.10508414096</v>
      </c>
      <c r="F196" s="70">
        <f t="shared" si="75"/>
        <v>21712.325905772606</v>
      </c>
      <c r="G196" s="70">
        <f t="shared" si="76"/>
        <v>-837.80805630279212</v>
      </c>
      <c r="H196" s="70">
        <f t="shared" si="77"/>
        <v>-496.2401564255</v>
      </c>
      <c r="I196" s="70">
        <f t="shared" si="79"/>
        <v>20378.277693044314</v>
      </c>
      <c r="J196" s="123">
        <f t="shared" si="55"/>
        <v>4.0741237836483535E-3</v>
      </c>
      <c r="K196" s="123">
        <f t="shared" si="78"/>
        <v>3.7270374794228456E-2</v>
      </c>
      <c r="L196" s="124">
        <f t="shared" si="53"/>
        <v>0.1075</v>
      </c>
      <c r="M196" s="125">
        <f>+Dashboard!$B$36</f>
        <v>1</v>
      </c>
      <c r="N196" s="160">
        <f t="shared" si="56"/>
        <v>8.5450710394860963E-3</v>
      </c>
      <c r="O196" s="70">
        <f t="shared" si="57"/>
        <v>4192188.3435907699</v>
      </c>
    </row>
    <row r="197" spans="1:15" outlineLevel="1" x14ac:dyDescent="0.25">
      <c r="A197" s="122">
        <v>190</v>
      </c>
      <c r="B197" s="70">
        <f>IF($D$1="SAC",-'Price x SAC x SACRE'!G196,IF('Base dinâmica'!$D$1="Price",-'Price x SAC x SACRE'!B196,IF('Base dinâmica'!$D$1="sacre",-'Price x SAC x SACRE'!L196,0)))</f>
        <v>-4100.9182743504407</v>
      </c>
      <c r="C197" s="70">
        <f>IF($D$1="SAC",-'Price x SAC x SACRE'!H196,IF('Base dinâmica'!$D$1="Price",-'Price x SAC x SACRE'!C196,IF('Base dinâmica'!$D$1="sacre",-'Price x SAC x SACRE'!M196,0)))</f>
        <v>-815.68840983157463</v>
      </c>
      <c r="D197" s="70">
        <f>IF($D$1="SAC",-'Price x SAC x SACRE'!I196,IF('Base dinâmica'!$D$1="Price",-'Price x SAC x SACRE'!D196,IF('Base dinâmica'!$D$1="sacre",-'Price x SAC x SACRE'!N196,0)))</f>
        <v>-3285.2298645188657</v>
      </c>
      <c r="E197" s="70">
        <f>IF($D$1="SAC",-'Price x SAC x SACRE'!J196,IF('Base dinâmica'!$D$1="Price",-'Price x SAC x SACRE'!E196,IF('Base dinâmica'!$D$1="sacre",-'Price x SAC x SACRE'!O196,0)))</f>
        <v>-345406.41667430941</v>
      </c>
      <c r="F197" s="70">
        <f t="shared" si="75"/>
        <v>21712.325905772606</v>
      </c>
      <c r="G197" s="70">
        <f t="shared" si="76"/>
        <v>-837.80805630279212</v>
      </c>
      <c r="H197" s="70">
        <f t="shared" si="77"/>
        <v>-496.2401564255</v>
      </c>
      <c r="I197" s="70">
        <f t="shared" si="79"/>
        <v>20378.277693044314</v>
      </c>
      <c r="J197" s="123">
        <f t="shared" si="55"/>
        <v>4.0741237836483535E-3</v>
      </c>
      <c r="K197" s="123">
        <f t="shared" si="78"/>
        <v>4.1496342698251532E-2</v>
      </c>
      <c r="L197" s="124">
        <f t="shared" si="53"/>
        <v>0.1075</v>
      </c>
      <c r="M197" s="125">
        <f>+Dashboard!$B$36</f>
        <v>1</v>
      </c>
      <c r="N197" s="160">
        <f t="shared" si="56"/>
        <v>8.5450710394860963E-3</v>
      </c>
      <c r="O197" s="70">
        <f t="shared" si="57"/>
        <v>4244288.2502163528</v>
      </c>
    </row>
    <row r="198" spans="1:15" outlineLevel="1" x14ac:dyDescent="0.25">
      <c r="A198" s="122">
        <v>191</v>
      </c>
      <c r="B198" s="70">
        <f>IF($D$1="SAC",-'Price x SAC x SACRE'!G197,IF('Base dinâmica'!$D$1="Price",-'Price x SAC x SACRE'!B197,IF('Base dinâmica'!$D$1="sacre",-'Price x SAC x SACRE'!L197,0)))</f>
        <v>-4100.9182743504407</v>
      </c>
      <c r="C198" s="70">
        <f>IF($D$1="SAC",-'Price x SAC x SACRE'!H197,IF('Base dinâmica'!$D$1="Price",-'Price x SAC x SACRE'!C197,IF('Base dinâmica'!$D$1="sacre",-'Price x SAC x SACRE'!M197,0)))</f>
        <v>-823.42830825160581</v>
      </c>
      <c r="D198" s="70">
        <f>IF($D$1="SAC",-'Price x SAC x SACRE'!I197,IF('Base dinâmica'!$D$1="Price",-'Price x SAC x SACRE'!D197,IF('Base dinâmica'!$D$1="sacre",-'Price x SAC x SACRE'!N197,0)))</f>
        <v>-3277.4899660988344</v>
      </c>
      <c r="E198" s="70">
        <f>IF($D$1="SAC",-'Price x SAC x SACRE'!J197,IF('Base dinâmica'!$D$1="Price",-'Price x SAC x SACRE'!E197,IF('Base dinâmica'!$D$1="sacre",-'Price x SAC x SACRE'!O197,0)))</f>
        <v>-344582.98836605781</v>
      </c>
      <c r="F198" s="70">
        <f t="shared" si="75"/>
        <v>21712.325905772606</v>
      </c>
      <c r="G198" s="70">
        <f t="shared" si="76"/>
        <v>-837.80805630279212</v>
      </c>
      <c r="H198" s="70">
        <v>0</v>
      </c>
      <c r="I198" s="70">
        <f t="shared" si="79"/>
        <v>20874.517849469816</v>
      </c>
      <c r="J198" s="123">
        <f t="shared" si="55"/>
        <v>4.0741237836483535E-3</v>
      </c>
      <c r="K198" s="123">
        <f t="shared" si="78"/>
        <v>4.573952771862122E-2</v>
      </c>
      <c r="L198" s="124">
        <f t="shared" si="53"/>
        <v>0.1075</v>
      </c>
      <c r="M198" s="125">
        <f>+Dashboard!$B$36</f>
        <v>1</v>
      </c>
      <c r="N198" s="160">
        <f t="shared" si="56"/>
        <v>8.5450710394860963E-3</v>
      </c>
      <c r="O198" s="70">
        <f t="shared" si="57"/>
        <v>4297329.5944016268</v>
      </c>
    </row>
    <row r="199" spans="1:15" s="53" customFormat="1" x14ac:dyDescent="0.25">
      <c r="A199" s="68">
        <v>192</v>
      </c>
      <c r="B199" s="64">
        <f>IF($D$1="SAC",-'Price x SAC x SACRE'!G198,IF('Base dinâmica'!$D$1="Price",-'Price x SAC x SACRE'!B198,IF('Base dinâmica'!$D$1="sacre",-'Price x SAC x SACRE'!L198,0)))</f>
        <v>-4100.9182743504407</v>
      </c>
      <c r="C199" s="64">
        <f>IF($D$1="SAC",-'Price x SAC x SACRE'!H198,IF('Base dinâmica'!$D$1="Price",-'Price x SAC x SACRE'!C198,IF('Base dinâmica'!$D$1="sacre",-'Price x SAC x SACRE'!M198,0)))</f>
        <v>-831.24164896507932</v>
      </c>
      <c r="D199" s="64">
        <f>IF($D$1="SAC",-'Price x SAC x SACRE'!I198,IF('Base dinâmica'!$D$1="Price",-'Price x SAC x SACRE'!D198,IF('Base dinâmica'!$D$1="sacre",-'Price x SAC x SACRE'!N198,0)))</f>
        <v>-3269.6766253853611</v>
      </c>
      <c r="E199" s="64">
        <f>IF($D$1="SAC",-'Price x SAC x SACRE'!J198,IF('Base dinâmica'!$D$1="Price",-'Price x SAC x SACRE'!E198,IF('Base dinâmica'!$D$1="sacre",-'Price x SAC x SACRE'!O198,0)))</f>
        <v>-343751.7467170927</v>
      </c>
      <c r="F199" s="64">
        <f>+F198</f>
        <v>21712.325905772606</v>
      </c>
      <c r="G199" s="64">
        <f>+G198</f>
        <v>-837.80805630279212</v>
      </c>
      <c r="H199" s="64">
        <v>0</v>
      </c>
      <c r="I199" s="64">
        <f t="shared" si="79"/>
        <v>20874.517849469816</v>
      </c>
      <c r="J199" s="119">
        <f t="shared" si="55"/>
        <v>4.0741237836483535E-3</v>
      </c>
      <c r="K199" s="119">
        <f t="shared" si="78"/>
        <v>5.0000000000000933E-2</v>
      </c>
      <c r="L199" s="120">
        <f t="shared" si="53"/>
        <v>0.1075</v>
      </c>
      <c r="M199" s="121">
        <f>+Dashboard!$B$36</f>
        <v>1</v>
      </c>
      <c r="N199" s="160">
        <f t="shared" si="56"/>
        <v>8.5450710394860963E-3</v>
      </c>
      <c r="O199" s="64">
        <f t="shared" si="57"/>
        <v>4350824.1806409936</v>
      </c>
    </row>
    <row r="200" spans="1:15" outlineLevel="1" x14ac:dyDescent="0.25">
      <c r="A200" s="122">
        <v>193</v>
      </c>
      <c r="B200" s="70">
        <f>IF($D$1="SAC",-'Price x SAC x SACRE'!G199,IF('Base dinâmica'!$D$1="Price",-'Price x SAC x SACRE'!B199,IF('Base dinâmica'!$D$1="sacre",-'Price x SAC x SACRE'!L199,0)))</f>
        <v>-4100.9182743504398</v>
      </c>
      <c r="C200" s="70">
        <f>IF($D$1="SAC",-'Price x SAC x SACRE'!H199,IF('Base dinâmica'!$D$1="Price",-'Price x SAC x SACRE'!C199,IF('Base dinâmica'!$D$1="sacre",-'Price x SAC x SACRE'!M199,0)))</f>
        <v>-839.12912885071034</v>
      </c>
      <c r="D200" s="70">
        <f>IF($D$1="SAC",-'Price x SAC x SACRE'!I199,IF('Base dinâmica'!$D$1="Price",-'Price x SAC x SACRE'!D199,IF('Base dinâmica'!$D$1="sacre",-'Price x SAC x SACRE'!N199,0)))</f>
        <v>-3261.7891454997298</v>
      </c>
      <c r="E200" s="70">
        <f>IF($D$1="SAC",-'Price x SAC x SACRE'!J199,IF('Base dinâmica'!$D$1="Price",-'Price x SAC x SACRE'!E199,IF('Base dinâmica'!$D$1="sacre",-'Price x SAC x SACRE'!O199,0)))</f>
        <v>-342912.61758824199</v>
      </c>
      <c r="F200" s="70">
        <f>+F199*(1+K199)</f>
        <v>22797.942201061258</v>
      </c>
      <c r="G200" s="70">
        <f>+G199*(1+K199)</f>
        <v>-879.69845911793254</v>
      </c>
      <c r="H200" s="70">
        <f>+H197*(1+K199)</f>
        <v>-521.05216424677542</v>
      </c>
      <c r="I200" s="70">
        <f t="shared" si="79"/>
        <v>21397.191577696551</v>
      </c>
      <c r="J200" s="123">
        <f t="shared" si="55"/>
        <v>4.0741237836483535E-3</v>
      </c>
      <c r="K200" s="123">
        <f>+J200</f>
        <v>4.0741237836483535E-3</v>
      </c>
      <c r="L200" s="124">
        <f t="shared" ref="L200:L263" si="80">+$N$2</f>
        <v>0.1075</v>
      </c>
      <c r="M200" s="125">
        <f>+Dashboard!$B$36</f>
        <v>1</v>
      </c>
      <c r="N200" s="160">
        <f t="shared" si="56"/>
        <v>8.5450710394860963E-3</v>
      </c>
      <c r="O200" s="70">
        <f t="shared" si="57"/>
        <v>4405298.5556482309</v>
      </c>
    </row>
    <row r="201" spans="1:15" outlineLevel="1" x14ac:dyDescent="0.25">
      <c r="A201" s="122">
        <v>194</v>
      </c>
      <c r="B201" s="70">
        <f>IF($D$1="SAC",-'Price x SAC x SACRE'!G200,IF('Base dinâmica'!$D$1="Price",-'Price x SAC x SACRE'!B200,IF('Base dinâmica'!$D$1="sacre",-'Price x SAC x SACRE'!L200,0)))</f>
        <v>-4100.9182743504398</v>
      </c>
      <c r="C201" s="70">
        <f>IF($D$1="SAC",-'Price x SAC x SACRE'!H200,IF('Base dinâmica'!$D$1="Price",-'Price x SAC x SACRE'!C200,IF('Base dinâmica'!$D$1="sacre",-'Price x SAC x SACRE'!M200,0)))</f>
        <v>-847.09145139975158</v>
      </c>
      <c r="D201" s="70">
        <f>IF($D$1="SAC",-'Price x SAC x SACRE'!I200,IF('Base dinâmica'!$D$1="Price",-'Price x SAC x SACRE'!D200,IF('Base dinâmica'!$D$1="sacre",-'Price x SAC x SACRE'!N200,0)))</f>
        <v>-3253.8268229506884</v>
      </c>
      <c r="E201" s="70">
        <f>IF($D$1="SAC",-'Price x SAC x SACRE'!J200,IF('Base dinâmica'!$D$1="Price",-'Price x SAC x SACRE'!E200,IF('Base dinâmica'!$D$1="sacre",-'Price x SAC x SACRE'!O200,0)))</f>
        <v>-342065.52613684227</v>
      </c>
      <c r="F201" s="70">
        <f>+F200</f>
        <v>22797.942201061258</v>
      </c>
      <c r="G201" s="70">
        <f>+G200</f>
        <v>-879.69845911793254</v>
      </c>
      <c r="H201" s="70">
        <f>+H200</f>
        <v>-521.05216424677542</v>
      </c>
      <c r="I201" s="70">
        <f t="shared" si="79"/>
        <v>21397.191577696551</v>
      </c>
      <c r="J201" s="123">
        <f t="shared" ref="J201:J264" si="81">+$L$3</f>
        <v>4.0741237836483535E-3</v>
      </c>
      <c r="K201" s="123">
        <f>((+K200+1)*(J201+1))-1</f>
        <v>8.1648460519012644E-3</v>
      </c>
      <c r="L201" s="124">
        <f t="shared" si="80"/>
        <v>0.1075</v>
      </c>
      <c r="M201" s="125">
        <f>+Dashboard!$B$36</f>
        <v>1</v>
      </c>
      <c r="N201" s="160">
        <f t="shared" ref="N201:N264" si="82">((((1+L201)^(1/12))-1)*M201)</f>
        <v>8.5450710394860963E-3</v>
      </c>
      <c r="O201" s="70">
        <f t="shared" si="57"/>
        <v>4460238.4180597365</v>
      </c>
    </row>
    <row r="202" spans="1:15" outlineLevel="1" x14ac:dyDescent="0.25">
      <c r="A202" s="122">
        <v>195</v>
      </c>
      <c r="B202" s="70">
        <f>IF($D$1="SAC",-'Price x SAC x SACRE'!G201,IF('Base dinâmica'!$D$1="Price",-'Price x SAC x SACRE'!B201,IF('Base dinâmica'!$D$1="sacre",-'Price x SAC x SACRE'!L201,0)))</f>
        <v>-4100.9182743504407</v>
      </c>
      <c r="C202" s="70">
        <f>IF($D$1="SAC",-'Price x SAC x SACRE'!H201,IF('Base dinâmica'!$D$1="Price",-'Price x SAC x SACRE'!C201,IF('Base dinâmica'!$D$1="sacre",-'Price x SAC x SACRE'!M201,0)))</f>
        <v>-855.1293267787396</v>
      </c>
      <c r="D202" s="70">
        <f>IF($D$1="SAC",-'Price x SAC x SACRE'!I201,IF('Base dinâmica'!$D$1="Price",-'Price x SAC x SACRE'!D201,IF('Base dinâmica'!$D$1="sacre",-'Price x SAC x SACRE'!N201,0)))</f>
        <v>-3245.7889475717011</v>
      </c>
      <c r="E202" s="70">
        <f>IF($D$1="SAC",-'Price x SAC x SACRE'!J201,IF('Base dinâmica'!$D$1="Price",-'Price x SAC x SACRE'!E201,IF('Base dinâmica'!$D$1="sacre",-'Price x SAC x SACRE'!O201,0)))</f>
        <v>-341210.39681006351</v>
      </c>
      <c r="F202" s="70">
        <f t="shared" ref="F202:F210" si="83">+F201</f>
        <v>22797.942201061258</v>
      </c>
      <c r="G202" s="70">
        <f t="shared" ref="G202:G210" si="84">+G201</f>
        <v>-879.69845911793254</v>
      </c>
      <c r="H202" s="70">
        <f t="shared" ref="H202:H209" si="85">+H201</f>
        <v>-521.05216424677542</v>
      </c>
      <c r="I202" s="70">
        <f t="shared" si="79"/>
        <v>21397.191577696551</v>
      </c>
      <c r="J202" s="123">
        <f t="shared" si="81"/>
        <v>4.0741237836483535E-3</v>
      </c>
      <c r="K202" s="123">
        <f t="shared" ref="K202:K211" si="86">((+K201+1)*(J202+1))-1</f>
        <v>1.2272234429039575E-2</v>
      </c>
      <c r="L202" s="124">
        <f t="shared" si="80"/>
        <v>0.1075</v>
      </c>
      <c r="M202" s="125">
        <f>+Dashboard!$B$36</f>
        <v>1</v>
      </c>
      <c r="N202" s="160">
        <f t="shared" si="82"/>
        <v>8.5450710394860963E-3</v>
      </c>
      <c r="O202" s="70">
        <f t="shared" ref="O202:O265" si="87">IF(O201&lt;=0,+I202+B202+O201,(+O201)*(((((1+L202)^(1/12))-1)*(M202))+1)+I202+B202)</f>
        <v>4515647.7454984477</v>
      </c>
    </row>
    <row r="203" spans="1:15" outlineLevel="1" x14ac:dyDescent="0.25">
      <c r="A203" s="122">
        <v>196</v>
      </c>
      <c r="B203" s="70">
        <f>IF($D$1="SAC",-'Price x SAC x SACRE'!G202,IF('Base dinâmica'!$D$1="Price",-'Price x SAC x SACRE'!B202,IF('Base dinâmica'!$D$1="sacre",-'Price x SAC x SACRE'!L202,0)))</f>
        <v>-4100.9182743504407</v>
      </c>
      <c r="C203" s="70">
        <f>IF($D$1="SAC",-'Price x SAC x SACRE'!H202,IF('Base dinâmica'!$D$1="Price",-'Price x SAC x SACRE'!C202,IF('Base dinâmica'!$D$1="sacre",-'Price x SAC x SACRE'!M202,0)))</f>
        <v>-863.2434718928323</v>
      </c>
      <c r="D203" s="70">
        <f>IF($D$1="SAC",-'Price x SAC x SACRE'!I202,IF('Base dinâmica'!$D$1="Price",-'Price x SAC x SACRE'!D202,IF('Base dinâmica'!$D$1="sacre",-'Price x SAC x SACRE'!N202,0)))</f>
        <v>-3237.6748024576082</v>
      </c>
      <c r="E203" s="70">
        <f>IF($D$1="SAC",-'Price x SAC x SACRE'!J202,IF('Base dinâmica'!$D$1="Price",-'Price x SAC x SACRE'!E202,IF('Base dinâmica'!$D$1="sacre",-'Price x SAC x SACRE'!O202,0)))</f>
        <v>-340347.15333817067</v>
      </c>
      <c r="F203" s="70">
        <f t="shared" si="83"/>
        <v>22797.942201061258</v>
      </c>
      <c r="G203" s="70">
        <f t="shared" si="84"/>
        <v>-879.69845911793254</v>
      </c>
      <c r="H203" s="70">
        <f t="shared" si="85"/>
        <v>-521.05216424677542</v>
      </c>
      <c r="I203" s="70">
        <f t="shared" si="79"/>
        <v>21397.191577696551</v>
      </c>
      <c r="J203" s="123">
        <f t="shared" si="81"/>
        <v>4.0741237836483535E-3</v>
      </c>
      <c r="K203" s="123">
        <f t="shared" si="86"/>
        <v>1.6396356814853741E-2</v>
      </c>
      <c r="L203" s="124">
        <f t="shared" si="80"/>
        <v>0.1075</v>
      </c>
      <c r="M203" s="125">
        <f>+Dashboard!$B$36</f>
        <v>1</v>
      </c>
      <c r="N203" s="160">
        <f t="shared" si="82"/>
        <v>8.5450710394860963E-3</v>
      </c>
      <c r="O203" s="70">
        <f t="shared" si="87"/>
        <v>4571530.5495763728</v>
      </c>
    </row>
    <row r="204" spans="1:15" outlineLevel="1" x14ac:dyDescent="0.25">
      <c r="A204" s="122">
        <v>197</v>
      </c>
      <c r="B204" s="70">
        <f>IF($D$1="SAC",-'Price x SAC x SACRE'!G203,IF('Base dinâmica'!$D$1="Price",-'Price x SAC x SACRE'!B203,IF('Base dinâmica'!$D$1="sacre",-'Price x SAC x SACRE'!L203,0)))</f>
        <v>-4100.9182743504398</v>
      </c>
      <c r="C204" s="70">
        <f>IF($D$1="SAC",-'Price x SAC x SACRE'!H203,IF('Base dinâmica'!$D$1="Price",-'Price x SAC x SACRE'!C203,IF('Base dinâmica'!$D$1="sacre",-'Price x SAC x SACRE'!M203,0)))</f>
        <v>-871.4346104497539</v>
      </c>
      <c r="D204" s="70">
        <f>IF($D$1="SAC",-'Price x SAC x SACRE'!I203,IF('Base dinâmica'!$D$1="Price",-'Price x SAC x SACRE'!D203,IF('Base dinâmica'!$D$1="sacre",-'Price x SAC x SACRE'!N203,0)))</f>
        <v>-3229.4836639006862</v>
      </c>
      <c r="E204" s="70">
        <f>IF($D$1="SAC",-'Price x SAC x SACRE'!J203,IF('Base dinâmica'!$D$1="Price",-'Price x SAC x SACRE'!E203,IF('Base dinâmica'!$D$1="sacre",-'Price x SAC x SACRE'!O203,0)))</f>
        <v>-339475.7187277209</v>
      </c>
      <c r="F204" s="70">
        <f t="shared" si="83"/>
        <v>22797.942201061258</v>
      </c>
      <c r="G204" s="70">
        <f t="shared" si="84"/>
        <v>-879.69845911793254</v>
      </c>
      <c r="H204" s="70">
        <f t="shared" si="85"/>
        <v>-521.05216424677542</v>
      </c>
      <c r="I204" s="70">
        <f t="shared" si="79"/>
        <v>21397.191577696551</v>
      </c>
      <c r="J204" s="123">
        <f t="shared" si="81"/>
        <v>4.0741237836483535E-3</v>
      </c>
      <c r="K204" s="123">
        <f t="shared" si="86"/>
        <v>2.0537281385766715E-2</v>
      </c>
      <c r="L204" s="124">
        <f t="shared" si="80"/>
        <v>0.1075</v>
      </c>
      <c r="M204" s="125">
        <f>+Dashboard!$B$36</f>
        <v>1</v>
      </c>
      <c r="N204" s="160">
        <f t="shared" si="82"/>
        <v>8.5450710394860963E-3</v>
      </c>
      <c r="O204" s="70">
        <f t="shared" si="87"/>
        <v>4627890.8761850297</v>
      </c>
    </row>
    <row r="205" spans="1:15" outlineLevel="1" x14ac:dyDescent="0.25">
      <c r="A205" s="122">
        <v>198</v>
      </c>
      <c r="B205" s="70">
        <f>IF($D$1="SAC",-'Price x SAC x SACRE'!G204,IF('Base dinâmica'!$D$1="Price",-'Price x SAC x SACRE'!B204,IF('Base dinâmica'!$D$1="sacre",-'Price x SAC x SACRE'!L204,0)))</f>
        <v>-4100.9182743504398</v>
      </c>
      <c r="C205" s="70">
        <f>IF($D$1="SAC",-'Price x SAC x SACRE'!H204,IF('Base dinâmica'!$D$1="Price",-'Price x SAC x SACRE'!C204,IF('Base dinâmica'!$D$1="sacre",-'Price x SAC x SACRE'!M204,0)))</f>
        <v>-879.70347302434072</v>
      </c>
      <c r="D205" s="70">
        <f>IF($D$1="SAC",-'Price x SAC x SACRE'!I204,IF('Base dinâmica'!$D$1="Price",-'Price x SAC x SACRE'!D204,IF('Base dinâmica'!$D$1="sacre",-'Price x SAC x SACRE'!N204,0)))</f>
        <v>-3221.2148013260994</v>
      </c>
      <c r="E205" s="70">
        <f>IF($D$1="SAC",-'Price x SAC x SACRE'!J204,IF('Base dinâmica'!$D$1="Price",-'Price x SAC x SACRE'!E204,IF('Base dinâmica'!$D$1="sacre",-'Price x SAC x SACRE'!O204,0)))</f>
        <v>-338596.01525469654</v>
      </c>
      <c r="F205" s="70">
        <f t="shared" si="83"/>
        <v>22797.942201061258</v>
      </c>
      <c r="G205" s="70">
        <f t="shared" si="84"/>
        <v>-879.69845911793254</v>
      </c>
      <c r="H205" s="70">
        <f t="shared" si="85"/>
        <v>-521.05216424677542</v>
      </c>
      <c r="I205" s="70">
        <f t="shared" si="79"/>
        <v>21397.191577696551</v>
      </c>
      <c r="J205" s="123">
        <f t="shared" si="81"/>
        <v>4.0741237836483535E-3</v>
      </c>
      <c r="K205" s="123">
        <f t="shared" si="86"/>
        <v>2.4695076595960375E-2</v>
      </c>
      <c r="L205" s="124">
        <f t="shared" si="80"/>
        <v>0.1075</v>
      </c>
      <c r="M205" s="125">
        <f>+Dashboard!$B$36</f>
        <v>1</v>
      </c>
      <c r="N205" s="160">
        <f t="shared" si="82"/>
        <v>8.5450710394860963E-3</v>
      </c>
      <c r="O205" s="70">
        <f t="shared" si="87"/>
        <v>4684732.8057883661</v>
      </c>
    </row>
    <row r="206" spans="1:15" outlineLevel="1" x14ac:dyDescent="0.25">
      <c r="A206" s="122">
        <v>199</v>
      </c>
      <c r="B206" s="70">
        <f>IF($D$1="SAC",-'Price x SAC x SACRE'!G205,IF('Base dinâmica'!$D$1="Price",-'Price x SAC x SACRE'!B205,IF('Base dinâmica'!$D$1="sacre",-'Price x SAC x SACRE'!L205,0)))</f>
        <v>-4100.9182743504398</v>
      </c>
      <c r="C206" s="70">
        <f>IF($D$1="SAC",-'Price x SAC x SACRE'!H205,IF('Base dinâmica'!$D$1="Price",-'Price x SAC x SACRE'!C205,IF('Base dinâmica'!$D$1="sacre",-'Price x SAC x SACRE'!M205,0)))</f>
        <v>-888.05079712370218</v>
      </c>
      <c r="D206" s="70">
        <f>IF($D$1="SAC",-'Price x SAC x SACRE'!I205,IF('Base dinâmica'!$D$1="Price",-'Price x SAC x SACRE'!D205,IF('Base dinâmica'!$D$1="sacre",-'Price x SAC x SACRE'!N205,0)))</f>
        <v>-3212.8674772267377</v>
      </c>
      <c r="E206" s="70">
        <f>IF($D$1="SAC",-'Price x SAC x SACRE'!J205,IF('Base dinâmica'!$D$1="Price",-'Price x SAC x SACRE'!E205,IF('Base dinâmica'!$D$1="sacre",-'Price x SAC x SACRE'!O205,0)))</f>
        <v>-337707.96445757285</v>
      </c>
      <c r="F206" s="70">
        <f t="shared" si="83"/>
        <v>22797.942201061258</v>
      </c>
      <c r="G206" s="70">
        <f t="shared" si="84"/>
        <v>-879.69845911793254</v>
      </c>
      <c r="H206" s="70">
        <f t="shared" si="85"/>
        <v>-521.05216424677542</v>
      </c>
      <c r="I206" s="70">
        <f t="shared" si="79"/>
        <v>21397.191577696551</v>
      </c>
      <c r="J206" s="123">
        <f t="shared" si="81"/>
        <v>4.0741237836483535E-3</v>
      </c>
      <c r="K206" s="123">
        <f t="shared" si="86"/>
        <v>2.8869811178507288E-2</v>
      </c>
      <c r="L206" s="124">
        <f t="shared" si="80"/>
        <v>0.1075</v>
      </c>
      <c r="M206" s="125">
        <f>+Dashboard!$B$36</f>
        <v>1</v>
      </c>
      <c r="N206" s="160">
        <f t="shared" si="82"/>
        <v>8.5450710394860963E-3</v>
      </c>
      <c r="O206" s="70">
        <f t="shared" si="87"/>
        <v>4742060.4537181845</v>
      </c>
    </row>
    <row r="207" spans="1:15" outlineLevel="1" x14ac:dyDescent="0.25">
      <c r="A207" s="122">
        <v>200</v>
      </c>
      <c r="B207" s="70">
        <f>IF($D$1="SAC",-'Price x SAC x SACRE'!G206,IF('Base dinâmica'!$D$1="Price",-'Price x SAC x SACRE'!B206,IF('Base dinâmica'!$D$1="sacre",-'Price x SAC x SACRE'!L206,0)))</f>
        <v>-4100.9182743504398</v>
      </c>
      <c r="C207" s="70">
        <f>IF($D$1="SAC",-'Price x SAC x SACRE'!H206,IF('Base dinâmica'!$D$1="Price",-'Price x SAC x SACRE'!C206,IF('Base dinâmica'!$D$1="sacre",-'Price x SAC x SACRE'!M206,0)))</f>
        <v>-896.47732725300034</v>
      </c>
      <c r="D207" s="70">
        <f>IF($D$1="SAC",-'Price x SAC x SACRE'!I206,IF('Base dinâmica'!$D$1="Price",-'Price x SAC x SACRE'!D206,IF('Base dinâmica'!$D$1="sacre",-'Price x SAC x SACRE'!N206,0)))</f>
        <v>-3204.4409470974397</v>
      </c>
      <c r="E207" s="70">
        <f>IF($D$1="SAC",-'Price x SAC x SACRE'!J206,IF('Base dinâmica'!$D$1="Price",-'Price x SAC x SACRE'!E206,IF('Base dinâmica'!$D$1="sacre",-'Price x SAC x SACRE'!O206,0)))</f>
        <v>-336811.48713031982</v>
      </c>
      <c r="F207" s="70">
        <f t="shared" si="83"/>
        <v>22797.942201061258</v>
      </c>
      <c r="G207" s="70">
        <f t="shared" si="84"/>
        <v>-879.69845911793254</v>
      </c>
      <c r="H207" s="70">
        <f t="shared" si="85"/>
        <v>-521.05216424677542</v>
      </c>
      <c r="I207" s="70">
        <f t="shared" si="79"/>
        <v>21397.191577696551</v>
      </c>
      <c r="J207" s="123">
        <f t="shared" si="81"/>
        <v>4.0741237836483535E-3</v>
      </c>
      <c r="K207" s="123">
        <f t="shared" si="86"/>
        <v>3.3061554146507355E-2</v>
      </c>
      <c r="L207" s="124">
        <f t="shared" si="80"/>
        <v>0.1075</v>
      </c>
      <c r="M207" s="125">
        <f>+Dashboard!$B$36</f>
        <v>1</v>
      </c>
      <c r="N207" s="160">
        <f t="shared" si="82"/>
        <v>8.5450710394860963E-3</v>
      </c>
      <c r="O207" s="70">
        <f t="shared" si="87"/>
        <v>4799877.9704720899</v>
      </c>
    </row>
    <row r="208" spans="1:15" outlineLevel="1" x14ac:dyDescent="0.25">
      <c r="A208" s="122">
        <v>201</v>
      </c>
      <c r="B208" s="70">
        <f>IF($D$1="SAC",-'Price x SAC x SACRE'!G207,IF('Base dinâmica'!$D$1="Price",-'Price x SAC x SACRE'!B207,IF('Base dinâmica'!$D$1="sacre",-'Price x SAC x SACRE'!L207,0)))</f>
        <v>-4100.9182743504398</v>
      </c>
      <c r="C208" s="70">
        <f>IF($D$1="SAC",-'Price x SAC x SACRE'!H207,IF('Base dinâmica'!$D$1="Price",-'Price x SAC x SACRE'!C207,IF('Base dinâmica'!$D$1="sacre",-'Price x SAC x SACRE'!M207,0)))</f>
        <v>-904.98381498185256</v>
      </c>
      <c r="D208" s="70">
        <f>IF($D$1="SAC",-'Price x SAC x SACRE'!I207,IF('Base dinâmica'!$D$1="Price",-'Price x SAC x SACRE'!D207,IF('Base dinâmica'!$D$1="sacre",-'Price x SAC x SACRE'!N207,0)))</f>
        <v>-3195.9344593685869</v>
      </c>
      <c r="E208" s="70">
        <f>IF($D$1="SAC",-'Price x SAC x SACRE'!J207,IF('Base dinâmica'!$D$1="Price",-'Price x SAC x SACRE'!E207,IF('Base dinâmica'!$D$1="sacre",-'Price x SAC x SACRE'!O207,0)))</f>
        <v>-335906.50331533799</v>
      </c>
      <c r="F208" s="70">
        <f t="shared" si="83"/>
        <v>22797.942201061258</v>
      </c>
      <c r="G208" s="70">
        <f t="shared" si="84"/>
        <v>-879.69845911793254</v>
      </c>
      <c r="H208" s="70">
        <f t="shared" si="85"/>
        <v>-521.05216424677542</v>
      </c>
      <c r="I208" s="70">
        <f t="shared" si="79"/>
        <v>21397.191577696551</v>
      </c>
      <c r="J208" s="123">
        <f t="shared" si="81"/>
        <v>4.0741237836483535E-3</v>
      </c>
      <c r="K208" s="123">
        <f t="shared" si="86"/>
        <v>3.7270374794228456E-2</v>
      </c>
      <c r="L208" s="124">
        <f t="shared" si="80"/>
        <v>0.1075</v>
      </c>
      <c r="M208" s="125">
        <f>+Dashboard!$B$36</f>
        <v>1</v>
      </c>
      <c r="N208" s="160">
        <f t="shared" si="82"/>
        <v>8.5450710394860963E-3</v>
      </c>
      <c r="O208" s="70">
        <f t="shared" si="87"/>
        <v>4858189.5420139842</v>
      </c>
    </row>
    <row r="209" spans="1:15" outlineLevel="1" x14ac:dyDescent="0.25">
      <c r="A209" s="122">
        <v>202</v>
      </c>
      <c r="B209" s="70">
        <f>IF($D$1="SAC",-'Price x SAC x SACRE'!G208,IF('Base dinâmica'!$D$1="Price",-'Price x SAC x SACRE'!B208,IF('Base dinâmica'!$D$1="sacre",-'Price x SAC x SACRE'!L208,0)))</f>
        <v>-4100.9182743504398</v>
      </c>
      <c r="C209" s="70">
        <f>IF($D$1="SAC",-'Price x SAC x SACRE'!H208,IF('Base dinâmica'!$D$1="Price",-'Price x SAC x SACRE'!C208,IF('Base dinâmica'!$D$1="sacre",-'Price x SAC x SACRE'!M208,0)))</f>
        <v>-913.57101901136446</v>
      </c>
      <c r="D209" s="70">
        <f>IF($D$1="SAC",-'Price x SAC x SACRE'!I208,IF('Base dinâmica'!$D$1="Price",-'Price x SAC x SACRE'!D208,IF('Base dinâmica'!$D$1="sacre",-'Price x SAC x SACRE'!N208,0)))</f>
        <v>-3187.3472553390757</v>
      </c>
      <c r="E209" s="70">
        <f>IF($D$1="SAC",-'Price x SAC x SACRE'!J208,IF('Base dinâmica'!$D$1="Price",-'Price x SAC x SACRE'!E208,IF('Base dinâmica'!$D$1="sacre",-'Price x SAC x SACRE'!O208,0)))</f>
        <v>-334992.93229632662</v>
      </c>
      <c r="F209" s="70">
        <f t="shared" si="83"/>
        <v>22797.942201061258</v>
      </c>
      <c r="G209" s="70">
        <f t="shared" si="84"/>
        <v>-879.69845911793254</v>
      </c>
      <c r="H209" s="70">
        <f t="shared" si="85"/>
        <v>-521.05216424677542</v>
      </c>
      <c r="I209" s="70">
        <f t="shared" si="79"/>
        <v>21397.191577696551</v>
      </c>
      <c r="J209" s="123">
        <f t="shared" si="81"/>
        <v>4.0741237836483535E-3</v>
      </c>
      <c r="K209" s="123">
        <f t="shared" si="86"/>
        <v>4.1496342698251532E-2</v>
      </c>
      <c r="L209" s="124">
        <f t="shared" si="80"/>
        <v>0.1075</v>
      </c>
      <c r="M209" s="125">
        <f>+Dashboard!$B$36</f>
        <v>1</v>
      </c>
      <c r="N209" s="160">
        <f t="shared" si="82"/>
        <v>8.5450710394860963E-3</v>
      </c>
      <c r="O209" s="70">
        <f t="shared" si="87"/>
        <v>4916999.3900771281</v>
      </c>
    </row>
    <row r="210" spans="1:15" outlineLevel="1" x14ac:dyDescent="0.25">
      <c r="A210" s="122">
        <v>203</v>
      </c>
      <c r="B210" s="70">
        <f>IF($D$1="SAC",-'Price x SAC x SACRE'!G209,IF('Base dinâmica'!$D$1="Price",-'Price x SAC x SACRE'!B209,IF('Base dinâmica'!$D$1="sacre",-'Price x SAC x SACRE'!L209,0)))</f>
        <v>-4100.9182743504398</v>
      </c>
      <c r="C210" s="70">
        <f>IF($D$1="SAC",-'Price x SAC x SACRE'!H209,IF('Base dinâmica'!$D$1="Price",-'Price x SAC x SACRE'!C209,IF('Base dinâmica'!$D$1="sacre",-'Price x SAC x SACRE'!M209,0)))</f>
        <v>-922.23970524179936</v>
      </c>
      <c r="D210" s="70">
        <f>IF($D$1="SAC",-'Price x SAC x SACRE'!I209,IF('Base dinâmica'!$D$1="Price",-'Price x SAC x SACRE'!D209,IF('Base dinâmica'!$D$1="sacre",-'Price x SAC x SACRE'!N209,0)))</f>
        <v>-3178.6785691086407</v>
      </c>
      <c r="E210" s="70">
        <f>IF($D$1="SAC",-'Price x SAC x SACRE'!J209,IF('Base dinâmica'!$D$1="Price",-'Price x SAC x SACRE'!E209,IF('Base dinâmica'!$D$1="sacre",-'Price x SAC x SACRE'!O209,0)))</f>
        <v>-334070.69259108481</v>
      </c>
      <c r="F210" s="70">
        <f t="shared" si="83"/>
        <v>22797.942201061258</v>
      </c>
      <c r="G210" s="70">
        <f t="shared" si="84"/>
        <v>-879.69845911793254</v>
      </c>
      <c r="H210" s="70">
        <v>0</v>
      </c>
      <c r="I210" s="70">
        <f t="shared" si="79"/>
        <v>21918.243741943326</v>
      </c>
      <c r="J210" s="123">
        <f t="shared" si="81"/>
        <v>4.0741237836483535E-3</v>
      </c>
      <c r="K210" s="123">
        <f t="shared" si="86"/>
        <v>4.573952771862122E-2</v>
      </c>
      <c r="L210" s="124">
        <f t="shared" si="80"/>
        <v>0.1075</v>
      </c>
      <c r="M210" s="125">
        <f>+Dashboard!$B$36</f>
        <v>1</v>
      </c>
      <c r="N210" s="160">
        <f t="shared" si="82"/>
        <v>8.5450710394860963E-3</v>
      </c>
      <c r="O210" s="70">
        <f t="shared" si="87"/>
        <v>4976832.8246340398</v>
      </c>
    </row>
    <row r="211" spans="1:15" s="53" customFormat="1" x14ac:dyDescent="0.25">
      <c r="A211" s="68">
        <v>204</v>
      </c>
      <c r="B211" s="64">
        <f>IF($D$1="SAC",-'Price x SAC x SACRE'!G210,IF('Base dinâmica'!$D$1="Price",-'Price x SAC x SACRE'!B210,IF('Base dinâmica'!$D$1="sacre",-'Price x SAC x SACRE'!L210,0)))</f>
        <v>-4100.9182743504398</v>
      </c>
      <c r="C211" s="64">
        <f>IF($D$1="SAC",-'Price x SAC x SACRE'!H210,IF('Base dinâmica'!$D$1="Price",-'Price x SAC x SACRE'!C210,IF('Base dinâmica'!$D$1="sacre",-'Price x SAC x SACRE'!M210,0)))</f>
        <v>-930.99064684088967</v>
      </c>
      <c r="D211" s="64">
        <f>IF($D$1="SAC",-'Price x SAC x SACRE'!I210,IF('Base dinâmica'!$D$1="Price",-'Price x SAC x SACRE'!D210,IF('Base dinâmica'!$D$1="sacre",-'Price x SAC x SACRE'!N210,0)))</f>
        <v>-3169.9276275095503</v>
      </c>
      <c r="E211" s="64">
        <f>IF($D$1="SAC",-'Price x SAC x SACRE'!J210,IF('Base dinâmica'!$D$1="Price",-'Price x SAC x SACRE'!E210,IF('Base dinâmica'!$D$1="sacre",-'Price x SAC x SACRE'!O210,0)))</f>
        <v>-333139.70194424392</v>
      </c>
      <c r="F211" s="64">
        <f>+F210</f>
        <v>22797.942201061258</v>
      </c>
      <c r="G211" s="64">
        <f>+G210</f>
        <v>-879.69845911793254</v>
      </c>
      <c r="H211" s="64">
        <v>0</v>
      </c>
      <c r="I211" s="64">
        <f t="shared" si="79"/>
        <v>21918.243741943326</v>
      </c>
      <c r="J211" s="119">
        <f t="shared" si="81"/>
        <v>4.0741237836483535E-3</v>
      </c>
      <c r="K211" s="119">
        <f t="shared" si="86"/>
        <v>5.0000000000000933E-2</v>
      </c>
      <c r="L211" s="120">
        <f t="shared" si="80"/>
        <v>0.1075</v>
      </c>
      <c r="M211" s="121">
        <f>+Dashboard!$B$36</f>
        <v>1</v>
      </c>
      <c r="N211" s="160">
        <f t="shared" si="82"/>
        <v>8.5450710394860963E-3</v>
      </c>
      <c r="O211" s="64">
        <f t="shared" si="87"/>
        <v>5037177.5401397767</v>
      </c>
    </row>
    <row r="212" spans="1:15" outlineLevel="1" x14ac:dyDescent="0.25">
      <c r="A212" s="122">
        <v>205</v>
      </c>
      <c r="B212" s="70">
        <f>IF($D$1="SAC",-'Price x SAC x SACRE'!G211,IF('Base dinâmica'!$D$1="Price",-'Price x SAC x SACRE'!B211,IF('Base dinâmica'!$D$1="sacre",-'Price x SAC x SACRE'!L211,0)))</f>
        <v>-4100.9182743504398</v>
      </c>
      <c r="C212" s="70">
        <f>IF($D$1="SAC",-'Price x SAC x SACRE'!H211,IF('Base dinâmica'!$D$1="Price",-'Price x SAC x SACRE'!C211,IF('Base dinâmica'!$D$1="sacre",-'Price x SAC x SACRE'!M211,0)))</f>
        <v>-939.82462431279646</v>
      </c>
      <c r="D212" s="70">
        <f>IF($D$1="SAC",-'Price x SAC x SACRE'!I211,IF('Base dinâmica'!$D$1="Price",-'Price x SAC x SACRE'!D211,IF('Base dinâmica'!$D$1="sacre",-'Price x SAC x SACRE'!N211,0)))</f>
        <v>-3161.0936500376433</v>
      </c>
      <c r="E212" s="70">
        <f>IF($D$1="SAC",-'Price x SAC x SACRE'!J211,IF('Base dinâmica'!$D$1="Price",-'Price x SAC x SACRE'!E211,IF('Base dinâmica'!$D$1="sacre",-'Price x SAC x SACRE'!O211,0)))</f>
        <v>-332199.87731993111</v>
      </c>
      <c r="F212" s="70">
        <f>+F211*(1+K211)</f>
        <v>23937.839311114341</v>
      </c>
      <c r="G212" s="70">
        <f>+G211*(1+K211)</f>
        <v>-923.68338207382999</v>
      </c>
      <c r="H212" s="70">
        <f>+H209*(1+K211)</f>
        <v>-547.10477245911466</v>
      </c>
      <c r="I212" s="70">
        <f t="shared" si="79"/>
        <v>22467.051156581398</v>
      </c>
      <c r="J212" s="123">
        <f t="shared" si="81"/>
        <v>4.0741237836483535E-3</v>
      </c>
      <c r="K212" s="123">
        <f>+J212</f>
        <v>4.0741237836483535E-3</v>
      </c>
      <c r="L212" s="124">
        <f t="shared" si="80"/>
        <v>0.1075</v>
      </c>
      <c r="M212" s="125">
        <f>+Dashboard!$B$36</f>
        <v>1</v>
      </c>
      <c r="N212" s="160">
        <f t="shared" si="82"/>
        <v>8.5450710394860963E-3</v>
      </c>
      <c r="O212" s="70">
        <f t="shared" si="87"/>
        <v>5098586.7129410058</v>
      </c>
    </row>
    <row r="213" spans="1:15" outlineLevel="1" x14ac:dyDescent="0.25">
      <c r="A213" s="122">
        <v>206</v>
      </c>
      <c r="B213" s="70">
        <f>IF($D$1="SAC",-'Price x SAC x SACRE'!G212,IF('Base dinâmica'!$D$1="Price",-'Price x SAC x SACRE'!B212,IF('Base dinâmica'!$D$1="sacre",-'Price x SAC x SACRE'!L212,0)))</f>
        <v>-4100.9182743504398</v>
      </c>
      <c r="C213" s="70">
        <f>IF($D$1="SAC",-'Price x SAC x SACRE'!H212,IF('Base dinâmica'!$D$1="Price",-'Price x SAC x SACRE'!C212,IF('Base dinâmica'!$D$1="sacre",-'Price x SAC x SACRE'!M212,0)))</f>
        <v>-948.74242556772276</v>
      </c>
      <c r="D213" s="70">
        <f>IF($D$1="SAC",-'Price x SAC x SACRE'!I212,IF('Base dinâmica'!$D$1="Price",-'Price x SAC x SACRE'!D212,IF('Base dinâmica'!$D$1="sacre",-'Price x SAC x SACRE'!N212,0)))</f>
        <v>-3152.1758487827169</v>
      </c>
      <c r="E213" s="70">
        <f>IF($D$1="SAC",-'Price x SAC x SACRE'!J212,IF('Base dinâmica'!$D$1="Price",-'Price x SAC x SACRE'!E212,IF('Base dinâmica'!$D$1="sacre",-'Price x SAC x SACRE'!O212,0)))</f>
        <v>-331251.13489436341</v>
      </c>
      <c r="F213" s="70">
        <f>+F212</f>
        <v>23937.839311114341</v>
      </c>
      <c r="G213" s="70">
        <f>+G212</f>
        <v>-923.68338207382999</v>
      </c>
      <c r="H213" s="70">
        <f>+H212</f>
        <v>-547.10477245911466</v>
      </c>
      <c r="I213" s="70">
        <f t="shared" si="79"/>
        <v>22467.051156581398</v>
      </c>
      <c r="J213" s="123">
        <f t="shared" si="81"/>
        <v>4.0741237836483535E-3</v>
      </c>
      <c r="K213" s="123">
        <f>((+K212+1)*(J213+1))-1</f>
        <v>8.1648460519012644E-3</v>
      </c>
      <c r="L213" s="124">
        <f t="shared" si="80"/>
        <v>0.1075</v>
      </c>
      <c r="M213" s="125">
        <f>+Dashboard!$B$36</f>
        <v>1</v>
      </c>
      <c r="N213" s="160">
        <f t="shared" si="82"/>
        <v>8.5450710394860963E-3</v>
      </c>
      <c r="O213" s="70">
        <f t="shared" si="87"/>
        <v>5160520.6314862976</v>
      </c>
    </row>
    <row r="214" spans="1:15" outlineLevel="1" x14ac:dyDescent="0.25">
      <c r="A214" s="122">
        <v>207</v>
      </c>
      <c r="B214" s="70">
        <f>IF($D$1="SAC",-'Price x SAC x SACRE'!G213,IF('Base dinâmica'!$D$1="Price",-'Price x SAC x SACRE'!B213,IF('Base dinâmica'!$D$1="sacre",-'Price x SAC x SACRE'!L213,0)))</f>
        <v>-4100.9182743504398</v>
      </c>
      <c r="C214" s="70">
        <f>IF($D$1="SAC",-'Price x SAC x SACRE'!H213,IF('Base dinâmica'!$D$1="Price",-'Price x SAC x SACRE'!C213,IF('Base dinâmica'!$D$1="sacre",-'Price x SAC x SACRE'!M213,0)))</f>
        <v>-957.74484599218886</v>
      </c>
      <c r="D214" s="70">
        <f>IF($D$1="SAC",-'Price x SAC x SACRE'!I213,IF('Base dinâmica'!$D$1="Price",-'Price x SAC x SACRE'!D213,IF('Base dinâmica'!$D$1="sacre",-'Price x SAC x SACRE'!N213,0)))</f>
        <v>-3143.1734283582509</v>
      </c>
      <c r="E214" s="70">
        <f>IF($D$1="SAC",-'Price x SAC x SACRE'!J213,IF('Base dinâmica'!$D$1="Price",-'Price x SAC x SACRE'!E213,IF('Base dinâmica'!$D$1="sacre",-'Price x SAC x SACRE'!O213,0)))</f>
        <v>-330293.39004837122</v>
      </c>
      <c r="F214" s="70">
        <f t="shared" ref="F214:F222" si="88">+F213</f>
        <v>23937.839311114341</v>
      </c>
      <c r="G214" s="70">
        <f t="shared" ref="G214:G222" si="89">+G213</f>
        <v>-923.68338207382999</v>
      </c>
      <c r="H214" s="70">
        <f t="shared" ref="H214:H221" si="90">+H213</f>
        <v>-547.10477245911466</v>
      </c>
      <c r="I214" s="70">
        <f t="shared" si="79"/>
        <v>22467.051156581398</v>
      </c>
      <c r="J214" s="123">
        <f t="shared" si="81"/>
        <v>4.0741237836483535E-3</v>
      </c>
      <c r="K214" s="123">
        <f t="shared" ref="K214:K223" si="91">((+K213+1)*(J214+1))-1</f>
        <v>1.2272234429039575E-2</v>
      </c>
      <c r="L214" s="124">
        <f t="shared" si="80"/>
        <v>0.1075</v>
      </c>
      <c r="M214" s="125">
        <f>+Dashboard!$B$36</f>
        <v>1</v>
      </c>
      <c r="N214" s="160">
        <f t="shared" si="82"/>
        <v>8.5450710394860963E-3</v>
      </c>
      <c r="O214" s="70">
        <f t="shared" si="87"/>
        <v>5222983.7797653126</v>
      </c>
    </row>
    <row r="215" spans="1:15" outlineLevel="1" x14ac:dyDescent="0.25">
      <c r="A215" s="122">
        <v>208</v>
      </c>
      <c r="B215" s="70">
        <f>IF($D$1="SAC",-'Price x SAC x SACRE'!G214,IF('Base dinâmica'!$D$1="Price",-'Price x SAC x SACRE'!B214,IF('Base dinâmica'!$D$1="sacre",-'Price x SAC x SACRE'!L214,0)))</f>
        <v>-4100.9182743504398</v>
      </c>
      <c r="C215" s="70">
        <f>IF($D$1="SAC",-'Price x SAC x SACRE'!H214,IF('Base dinâmica'!$D$1="Price",-'Price x SAC x SACRE'!C214,IF('Base dinâmica'!$D$1="sacre",-'Price x SAC x SACRE'!M214,0)))</f>
        <v>-966.83268851997298</v>
      </c>
      <c r="D215" s="70">
        <f>IF($D$1="SAC",-'Price x SAC x SACRE'!I214,IF('Base dinâmica'!$D$1="Price",-'Price x SAC x SACRE'!D214,IF('Base dinâmica'!$D$1="sacre",-'Price x SAC x SACRE'!N214,0)))</f>
        <v>-3134.0855858304667</v>
      </c>
      <c r="E215" s="70">
        <f>IF($D$1="SAC",-'Price x SAC x SACRE'!J214,IF('Base dinâmica'!$D$1="Price",-'Price x SAC x SACRE'!E214,IF('Base dinâmica'!$D$1="sacre",-'Price x SAC x SACRE'!O214,0)))</f>
        <v>-329326.55735985126</v>
      </c>
      <c r="F215" s="70">
        <f t="shared" si="88"/>
        <v>23937.839311114341</v>
      </c>
      <c r="G215" s="70">
        <f t="shared" si="89"/>
        <v>-923.68338207382999</v>
      </c>
      <c r="H215" s="70">
        <f t="shared" si="90"/>
        <v>-547.10477245911466</v>
      </c>
      <c r="I215" s="70">
        <f t="shared" si="79"/>
        <v>22467.051156581398</v>
      </c>
      <c r="J215" s="123">
        <f t="shared" si="81"/>
        <v>4.0741237836483535E-3</v>
      </c>
      <c r="K215" s="123">
        <f t="shared" si="91"/>
        <v>1.6396356814853741E-2</v>
      </c>
      <c r="L215" s="124">
        <f t="shared" si="80"/>
        <v>0.1075</v>
      </c>
      <c r="M215" s="125">
        <f>+Dashboard!$B$36</f>
        <v>1</v>
      </c>
      <c r="N215" s="160">
        <f t="shared" si="82"/>
        <v>8.5450710394860963E-3</v>
      </c>
      <c r="O215" s="70">
        <f t="shared" si="87"/>
        <v>5285980.6800837219</v>
      </c>
    </row>
    <row r="216" spans="1:15" outlineLevel="1" x14ac:dyDescent="0.25">
      <c r="A216" s="122">
        <v>209</v>
      </c>
      <c r="B216" s="70">
        <f>IF($D$1="SAC",-'Price x SAC x SACRE'!G215,IF('Base dinâmica'!$D$1="Price",-'Price x SAC x SACRE'!B215,IF('Base dinâmica'!$D$1="sacre",-'Price x SAC x SACRE'!L215,0)))</f>
        <v>-4100.9182743504398</v>
      </c>
      <c r="C216" s="70">
        <f>IF($D$1="SAC",-'Price x SAC x SACRE'!H215,IF('Base dinâmica'!$D$1="Price",-'Price x SAC x SACRE'!C215,IF('Base dinâmica'!$D$1="sacre",-'Price x SAC x SACRE'!M215,0)))</f>
        <v>-976.00676370372537</v>
      </c>
      <c r="D216" s="70">
        <f>IF($D$1="SAC",-'Price x SAC x SACRE'!I215,IF('Base dinâmica'!$D$1="Price",-'Price x SAC x SACRE'!D215,IF('Base dinâmica'!$D$1="sacre",-'Price x SAC x SACRE'!N215,0)))</f>
        <v>-3124.9115106467148</v>
      </c>
      <c r="E216" s="70">
        <f>IF($D$1="SAC",-'Price x SAC x SACRE'!J215,IF('Base dinâmica'!$D$1="Price",-'Price x SAC x SACRE'!E215,IF('Base dinâmica'!$D$1="sacre",-'Price x SAC x SACRE'!O215,0)))</f>
        <v>-328350.55059614754</v>
      </c>
      <c r="F216" s="70">
        <f t="shared" si="88"/>
        <v>23937.839311114341</v>
      </c>
      <c r="G216" s="70">
        <f t="shared" si="89"/>
        <v>-923.68338207382999</v>
      </c>
      <c r="H216" s="70">
        <f t="shared" si="90"/>
        <v>-547.10477245911466</v>
      </c>
      <c r="I216" s="70">
        <f t="shared" si="79"/>
        <v>22467.051156581398</v>
      </c>
      <c r="J216" s="123">
        <f t="shared" si="81"/>
        <v>4.0741237836483535E-3</v>
      </c>
      <c r="K216" s="123">
        <f t="shared" si="91"/>
        <v>2.0537281385766715E-2</v>
      </c>
      <c r="L216" s="124">
        <f t="shared" si="80"/>
        <v>0.1075</v>
      </c>
      <c r="M216" s="125">
        <f>+Dashboard!$B$36</f>
        <v>1</v>
      </c>
      <c r="N216" s="160">
        <f t="shared" si="82"/>
        <v>8.5450710394860963E-3</v>
      </c>
      <c r="O216" s="70">
        <f t="shared" si="87"/>
        <v>5349515.8933906192</v>
      </c>
    </row>
    <row r="217" spans="1:15" outlineLevel="1" x14ac:dyDescent="0.25">
      <c r="A217" s="122">
        <v>210</v>
      </c>
      <c r="B217" s="70">
        <f>IF($D$1="SAC",-'Price x SAC x SACRE'!G216,IF('Base dinâmica'!$D$1="Price",-'Price x SAC x SACRE'!B216,IF('Base dinâmica'!$D$1="sacre",-'Price x SAC x SACRE'!L216,0)))</f>
        <v>-4100.9182743504398</v>
      </c>
      <c r="C217" s="70">
        <f>IF($D$1="SAC",-'Price x SAC x SACRE'!H216,IF('Base dinâmica'!$D$1="Price",-'Price x SAC x SACRE'!C216,IF('Base dinâmica'!$D$1="sacre",-'Price x SAC x SACRE'!M216,0)))</f>
        <v>-985.26788978726233</v>
      </c>
      <c r="D217" s="70">
        <f>IF($D$1="SAC",-'Price x SAC x SACRE'!I216,IF('Base dinâmica'!$D$1="Price",-'Price x SAC x SACRE'!D216,IF('Base dinâmica'!$D$1="sacre",-'Price x SAC x SACRE'!N216,0)))</f>
        <v>-3115.6503845631778</v>
      </c>
      <c r="E217" s="70">
        <f>IF($D$1="SAC",-'Price x SAC x SACRE'!J216,IF('Base dinâmica'!$D$1="Price",-'Price x SAC x SACRE'!E216,IF('Base dinâmica'!$D$1="sacre",-'Price x SAC x SACRE'!O216,0)))</f>
        <v>-327365.28270636027</v>
      </c>
      <c r="F217" s="70">
        <f t="shared" si="88"/>
        <v>23937.839311114341</v>
      </c>
      <c r="G217" s="70">
        <f t="shared" si="89"/>
        <v>-923.68338207382999</v>
      </c>
      <c r="H217" s="70">
        <f t="shared" si="90"/>
        <v>-547.10477245911466</v>
      </c>
      <c r="I217" s="70">
        <f t="shared" si="79"/>
        <v>22467.051156581398</v>
      </c>
      <c r="J217" s="123">
        <f t="shared" si="81"/>
        <v>4.0741237836483535E-3</v>
      </c>
      <c r="K217" s="123">
        <f t="shared" si="91"/>
        <v>2.4695076595960375E-2</v>
      </c>
      <c r="L217" s="124">
        <f t="shared" si="80"/>
        <v>0.1075</v>
      </c>
      <c r="M217" s="125">
        <f>+Dashboard!$B$36</f>
        <v>1</v>
      </c>
      <c r="N217" s="160">
        <f t="shared" si="82"/>
        <v>8.5450710394860963E-3</v>
      </c>
      <c r="O217" s="70">
        <f t="shared" si="87"/>
        <v>5413594.0196087332</v>
      </c>
    </row>
    <row r="218" spans="1:15" outlineLevel="1" x14ac:dyDescent="0.25">
      <c r="A218" s="122">
        <v>211</v>
      </c>
      <c r="B218" s="70">
        <f>IF($D$1="SAC",-'Price x SAC x SACRE'!G217,IF('Base dinâmica'!$D$1="Price",-'Price x SAC x SACRE'!B217,IF('Base dinâmica'!$D$1="sacre",-'Price x SAC x SACRE'!L217,0)))</f>
        <v>-4100.9182743504398</v>
      </c>
      <c r="C218" s="70">
        <f>IF($D$1="SAC",-'Price x SAC x SACRE'!H217,IF('Base dinâmica'!$D$1="Price",-'Price x SAC x SACRE'!C217,IF('Base dinâmica'!$D$1="sacre",-'Price x SAC x SACRE'!M217,0)))</f>
        <v>-994.61689277854725</v>
      </c>
      <c r="D218" s="70">
        <f>IF($D$1="SAC",-'Price x SAC x SACRE'!I217,IF('Base dinâmica'!$D$1="Price",-'Price x SAC x SACRE'!D217,IF('Base dinâmica'!$D$1="sacre",-'Price x SAC x SACRE'!N217,0)))</f>
        <v>-3106.3013815718928</v>
      </c>
      <c r="E218" s="70">
        <f>IF($D$1="SAC",-'Price x SAC x SACRE'!J217,IF('Base dinâmica'!$D$1="Price",-'Price x SAC x SACRE'!E217,IF('Base dinâmica'!$D$1="sacre",-'Price x SAC x SACRE'!O217,0)))</f>
        <v>-326370.66581358173</v>
      </c>
      <c r="F218" s="70">
        <f t="shared" si="88"/>
        <v>23937.839311114341</v>
      </c>
      <c r="G218" s="70">
        <f t="shared" si="89"/>
        <v>-923.68338207382999</v>
      </c>
      <c r="H218" s="70">
        <f t="shared" si="90"/>
        <v>-547.10477245911466</v>
      </c>
      <c r="I218" s="70">
        <f t="shared" si="79"/>
        <v>22467.051156581398</v>
      </c>
      <c r="J218" s="123">
        <f t="shared" si="81"/>
        <v>4.0741237836483535E-3</v>
      </c>
      <c r="K218" s="123">
        <f t="shared" si="91"/>
        <v>2.8869811178507288E-2</v>
      </c>
      <c r="L218" s="124">
        <f t="shared" si="80"/>
        <v>0.1075</v>
      </c>
      <c r="M218" s="125">
        <f>+Dashboard!$B$36</f>
        <v>1</v>
      </c>
      <c r="N218" s="160">
        <f t="shared" si="82"/>
        <v>8.5450710394860963E-3</v>
      </c>
      <c r="O218" s="70">
        <f t="shared" si="87"/>
        <v>5478219.6979674576</v>
      </c>
    </row>
    <row r="219" spans="1:15" outlineLevel="1" x14ac:dyDescent="0.25">
      <c r="A219" s="122">
        <v>212</v>
      </c>
      <c r="B219" s="70">
        <f>IF($D$1="SAC",-'Price x SAC x SACRE'!G218,IF('Base dinâmica'!$D$1="Price",-'Price x SAC x SACRE'!B218,IF('Base dinâmica'!$D$1="sacre",-'Price x SAC x SACRE'!L218,0)))</f>
        <v>-4100.9182743504398</v>
      </c>
      <c r="C219" s="70">
        <f>IF($D$1="SAC",-'Price x SAC x SACRE'!H218,IF('Base dinâmica'!$D$1="Price",-'Price x SAC x SACRE'!C218,IF('Base dinâmica'!$D$1="sacre",-'Price x SAC x SACRE'!M218,0)))</f>
        <v>-1004.0546065233614</v>
      </c>
      <c r="D219" s="70">
        <f>IF($D$1="SAC",-'Price x SAC x SACRE'!I218,IF('Base dinâmica'!$D$1="Price",-'Price x SAC x SACRE'!D218,IF('Base dinâmica'!$D$1="sacre",-'Price x SAC x SACRE'!N218,0)))</f>
        <v>-3096.8636678270786</v>
      </c>
      <c r="E219" s="70">
        <f>IF($D$1="SAC",-'Price x SAC x SACRE'!J218,IF('Base dinâmica'!$D$1="Price",-'Price x SAC x SACRE'!E218,IF('Base dinâmica'!$D$1="sacre",-'Price x SAC x SACRE'!O218,0)))</f>
        <v>-325366.61120705836</v>
      </c>
      <c r="F219" s="70">
        <f t="shared" si="88"/>
        <v>23937.839311114341</v>
      </c>
      <c r="G219" s="70">
        <f t="shared" si="89"/>
        <v>-923.68338207382999</v>
      </c>
      <c r="H219" s="70">
        <f t="shared" si="90"/>
        <v>-547.10477245911466</v>
      </c>
      <c r="I219" s="70">
        <f t="shared" si="79"/>
        <v>22467.051156581398</v>
      </c>
      <c r="J219" s="123">
        <f t="shared" si="81"/>
        <v>4.0741237836483535E-3</v>
      </c>
      <c r="K219" s="123">
        <f t="shared" si="91"/>
        <v>3.3061554146507355E-2</v>
      </c>
      <c r="L219" s="124">
        <f t="shared" si="80"/>
        <v>0.1075</v>
      </c>
      <c r="M219" s="125">
        <f>+Dashboard!$B$36</f>
        <v>1</v>
      </c>
      <c r="N219" s="160">
        <f t="shared" si="82"/>
        <v>8.5450710394860963E-3</v>
      </c>
      <c r="O219" s="70">
        <f t="shared" si="87"/>
        <v>5543397.6073387321</v>
      </c>
    </row>
    <row r="220" spans="1:15" outlineLevel="1" x14ac:dyDescent="0.25">
      <c r="A220" s="122">
        <v>213</v>
      </c>
      <c r="B220" s="70">
        <f>IF($D$1="SAC",-'Price x SAC x SACRE'!G219,IF('Base dinâmica'!$D$1="Price",-'Price x SAC x SACRE'!B219,IF('Base dinâmica'!$D$1="sacre",-'Price x SAC x SACRE'!L219,0)))</f>
        <v>-4100.9182743504398</v>
      </c>
      <c r="C220" s="70">
        <f>IF($D$1="SAC",-'Price x SAC x SACRE'!H219,IF('Base dinâmica'!$D$1="Price",-'Price x SAC x SACRE'!C219,IF('Base dinâmica'!$D$1="sacre",-'Price x SAC x SACRE'!M219,0)))</f>
        <v>-1013.5818727796757</v>
      </c>
      <c r="D220" s="70">
        <f>IF($D$1="SAC",-'Price x SAC x SACRE'!I219,IF('Base dinâmica'!$D$1="Price",-'Price x SAC x SACRE'!D219,IF('Base dinâmica'!$D$1="sacre",-'Price x SAC x SACRE'!N219,0)))</f>
        <v>-3087.3364015707643</v>
      </c>
      <c r="E220" s="70">
        <f>IF($D$1="SAC",-'Price x SAC x SACRE'!J219,IF('Base dinâmica'!$D$1="Price",-'Price x SAC x SACRE'!E219,IF('Base dinâmica'!$D$1="sacre",-'Price x SAC x SACRE'!O219,0)))</f>
        <v>-324353.02933427866</v>
      </c>
      <c r="F220" s="70">
        <f t="shared" si="88"/>
        <v>23937.839311114341</v>
      </c>
      <c r="G220" s="70">
        <f t="shared" si="89"/>
        <v>-923.68338207382999</v>
      </c>
      <c r="H220" s="70">
        <f t="shared" si="90"/>
        <v>-547.10477245911466</v>
      </c>
      <c r="I220" s="70">
        <f t="shared" si="79"/>
        <v>22467.051156581398</v>
      </c>
      <c r="J220" s="123">
        <f t="shared" si="81"/>
        <v>4.0741237836483535E-3</v>
      </c>
      <c r="K220" s="123">
        <f t="shared" si="91"/>
        <v>3.7270374794228456E-2</v>
      </c>
      <c r="L220" s="124">
        <f t="shared" si="80"/>
        <v>0.1075</v>
      </c>
      <c r="M220" s="125">
        <f>+Dashboard!$B$36</f>
        <v>1</v>
      </c>
      <c r="N220" s="160">
        <f t="shared" si="82"/>
        <v>8.5450710394860963E-3</v>
      </c>
      <c r="O220" s="70">
        <f t="shared" si="87"/>
        <v>5609132.4665757902</v>
      </c>
    </row>
    <row r="221" spans="1:15" outlineLevel="1" x14ac:dyDescent="0.25">
      <c r="A221" s="122">
        <v>214</v>
      </c>
      <c r="B221" s="70">
        <f>IF($D$1="SAC",-'Price x SAC x SACRE'!G220,IF('Base dinâmica'!$D$1="Price",-'Price x SAC x SACRE'!B220,IF('Base dinâmica'!$D$1="sacre",-'Price x SAC x SACRE'!L220,0)))</f>
        <v>-4100.9182743504398</v>
      </c>
      <c r="C221" s="70">
        <f>IF($D$1="SAC",-'Price x SAC x SACRE'!H220,IF('Base dinâmica'!$D$1="Price",-'Price x SAC x SACRE'!C220,IF('Base dinâmica'!$D$1="sacre",-'Price x SAC x SACRE'!M220,0)))</f>
        <v>-1023.1995412927289</v>
      </c>
      <c r="D221" s="70">
        <f>IF($D$1="SAC",-'Price x SAC x SACRE'!I220,IF('Base dinâmica'!$D$1="Price",-'Price x SAC x SACRE'!D220,IF('Base dinâmica'!$D$1="sacre",-'Price x SAC x SACRE'!N220,0)))</f>
        <v>-3077.7187330577108</v>
      </c>
      <c r="E221" s="70">
        <f>IF($D$1="SAC",-'Price x SAC x SACRE'!J220,IF('Base dinâmica'!$D$1="Price",-'Price x SAC x SACRE'!E220,IF('Base dinâmica'!$D$1="sacre",-'Price x SAC x SACRE'!O220,0)))</f>
        <v>-323329.82979298593</v>
      </c>
      <c r="F221" s="70">
        <f t="shared" si="88"/>
        <v>23937.839311114341</v>
      </c>
      <c r="G221" s="70">
        <f t="shared" si="89"/>
        <v>-923.68338207382999</v>
      </c>
      <c r="H221" s="70">
        <f t="shared" si="90"/>
        <v>-547.10477245911466</v>
      </c>
      <c r="I221" s="70">
        <f t="shared" ref="I221:I223" si="92">+F221+G221+H221</f>
        <v>22467.051156581398</v>
      </c>
      <c r="J221" s="123">
        <f t="shared" si="81"/>
        <v>4.0741237836483535E-3</v>
      </c>
      <c r="K221" s="123">
        <f t="shared" si="91"/>
        <v>4.1496342698251532E-2</v>
      </c>
      <c r="L221" s="124">
        <f t="shared" si="80"/>
        <v>0.1075</v>
      </c>
      <c r="M221" s="125">
        <f>+Dashboard!$B$36</f>
        <v>1</v>
      </c>
      <c r="N221" s="160">
        <f t="shared" si="82"/>
        <v>8.5450710394860963E-3</v>
      </c>
      <c r="O221" s="70">
        <f t="shared" si="87"/>
        <v>5675429.0348547995</v>
      </c>
    </row>
    <row r="222" spans="1:15" outlineLevel="1" x14ac:dyDescent="0.25">
      <c r="A222" s="122">
        <v>215</v>
      </c>
      <c r="B222" s="70">
        <f>IF($D$1="SAC",-'Price x SAC x SACRE'!G221,IF('Base dinâmica'!$D$1="Price",-'Price x SAC x SACRE'!B221,IF('Base dinâmica'!$D$1="sacre",-'Price x SAC x SACRE'!L221,0)))</f>
        <v>-4100.9182743504398</v>
      </c>
      <c r="C222" s="70">
        <f>IF($D$1="SAC",-'Price x SAC x SACRE'!H221,IF('Base dinâmica'!$D$1="Price",-'Price x SAC x SACRE'!C221,IF('Base dinâmica'!$D$1="sacre",-'Price x SAC x SACRE'!M221,0)))</f>
        <v>-1032.9084698708161</v>
      </c>
      <c r="D222" s="70">
        <f>IF($D$1="SAC",-'Price x SAC x SACRE'!I221,IF('Base dinâmica'!$D$1="Price",-'Price x SAC x SACRE'!D221,IF('Base dinâmica'!$D$1="sacre",-'Price x SAC x SACRE'!N221,0)))</f>
        <v>-3068.0098044796237</v>
      </c>
      <c r="E222" s="70">
        <f>IF($D$1="SAC",-'Price x SAC x SACRE'!J221,IF('Base dinâmica'!$D$1="Price",-'Price x SAC x SACRE'!E221,IF('Base dinâmica'!$D$1="sacre",-'Price x SAC x SACRE'!O221,0)))</f>
        <v>-322296.92132311512</v>
      </c>
      <c r="F222" s="70">
        <f t="shared" si="88"/>
        <v>23937.839311114341</v>
      </c>
      <c r="G222" s="70">
        <f t="shared" si="89"/>
        <v>-923.68338207382999</v>
      </c>
      <c r="H222" s="70">
        <v>0</v>
      </c>
      <c r="I222" s="70">
        <f t="shared" si="92"/>
        <v>23014.155929040513</v>
      </c>
      <c r="J222" s="123">
        <f t="shared" si="81"/>
        <v>4.0741237836483535E-3</v>
      </c>
      <c r="K222" s="123">
        <f t="shared" si="91"/>
        <v>4.573952771862122E-2</v>
      </c>
      <c r="L222" s="124">
        <f t="shared" si="80"/>
        <v>0.1075</v>
      </c>
      <c r="M222" s="125">
        <f>+Dashboard!$B$36</f>
        <v>1</v>
      </c>
      <c r="N222" s="160">
        <f t="shared" si="82"/>
        <v>8.5450710394860963E-3</v>
      </c>
      <c r="O222" s="70">
        <f t="shared" si="87"/>
        <v>5742839.2167918859</v>
      </c>
    </row>
    <row r="223" spans="1:15" s="53" customFormat="1" x14ac:dyDescent="0.25">
      <c r="A223" s="68">
        <v>216</v>
      </c>
      <c r="B223" s="64">
        <f>IF($D$1="SAC",-'Price x SAC x SACRE'!G222,IF('Base dinâmica'!$D$1="Price",-'Price x SAC x SACRE'!B222,IF('Base dinâmica'!$D$1="sacre",-'Price x SAC x SACRE'!L222,0)))</f>
        <v>-4100.9182743504398</v>
      </c>
      <c r="C223" s="64">
        <f>IF($D$1="SAC",-'Price x SAC x SACRE'!H222,IF('Base dinâmica'!$D$1="Price",-'Price x SAC x SACRE'!C222,IF('Base dinâmica'!$D$1="sacre",-'Price x SAC x SACRE'!M222,0)))</f>
        <v>-1042.7095244617974</v>
      </c>
      <c r="D223" s="64">
        <f>IF($D$1="SAC",-'Price x SAC x SACRE'!I222,IF('Base dinâmica'!$D$1="Price",-'Price x SAC x SACRE'!D222,IF('Base dinâmica'!$D$1="sacre",-'Price x SAC x SACRE'!N222,0)))</f>
        <v>-3058.2087498886426</v>
      </c>
      <c r="E223" s="64">
        <f>IF($D$1="SAC",-'Price x SAC x SACRE'!J222,IF('Base dinâmica'!$D$1="Price",-'Price x SAC x SACRE'!E222,IF('Base dinâmica'!$D$1="sacre",-'Price x SAC x SACRE'!O222,0)))</f>
        <v>-321254.2117986533</v>
      </c>
      <c r="F223" s="64">
        <f>+F222</f>
        <v>23937.839311114341</v>
      </c>
      <c r="G223" s="64">
        <f>+G222</f>
        <v>-923.68338207382999</v>
      </c>
      <c r="H223" s="64">
        <v>0</v>
      </c>
      <c r="I223" s="64">
        <f t="shared" si="92"/>
        <v>23014.155929040513</v>
      </c>
      <c r="J223" s="119">
        <f t="shared" si="81"/>
        <v>4.0741237836483535E-3</v>
      </c>
      <c r="K223" s="119">
        <f t="shared" si="91"/>
        <v>5.0000000000000933E-2</v>
      </c>
      <c r="L223" s="120">
        <f t="shared" si="80"/>
        <v>0.1075</v>
      </c>
      <c r="M223" s="121">
        <f>+Dashboard!$B$36</f>
        <v>1</v>
      </c>
      <c r="N223" s="160">
        <f t="shared" si="82"/>
        <v>8.5450710394860963E-3</v>
      </c>
      <c r="O223" s="64">
        <f t="shared" si="87"/>
        <v>5810825.4235224091</v>
      </c>
    </row>
    <row r="224" spans="1:15" outlineLevel="1" x14ac:dyDescent="0.25">
      <c r="A224" s="122">
        <v>217</v>
      </c>
      <c r="B224" s="70">
        <f>IF($D$1="SAC",-'Price x SAC x SACRE'!G223,IF('Base dinâmica'!$D$1="Price",-'Price x SAC x SACRE'!B223,IF('Base dinâmica'!$D$1="sacre",-'Price x SAC x SACRE'!L223,0)))</f>
        <v>-4100.9182743504389</v>
      </c>
      <c r="C224" s="70">
        <f>IF($D$1="SAC",-'Price x SAC x SACRE'!H223,IF('Base dinâmica'!$D$1="Price",-'Price x SAC x SACRE'!C223,IF('Base dinâmica'!$D$1="sacre",-'Price x SAC x SACRE'!M223,0)))</f>
        <v>-1052.6035792303328</v>
      </c>
      <c r="D224" s="70">
        <f>IF($D$1="SAC",-'Price x SAC x SACRE'!I223,IF('Base dinâmica'!$D$1="Price",-'Price x SAC x SACRE'!D223,IF('Base dinâmica'!$D$1="sacre",-'Price x SAC x SACRE'!N223,0)))</f>
        <v>-3048.3146951201065</v>
      </c>
      <c r="E224" s="70">
        <f>IF($D$1="SAC",-'Price x SAC x SACRE'!J223,IF('Base dinâmica'!$D$1="Price",-'Price x SAC x SACRE'!E223,IF('Base dinâmica'!$D$1="sacre",-'Price x SAC x SACRE'!O223,0)))</f>
        <v>-320201.60821942298</v>
      </c>
      <c r="F224" s="70">
        <f>+F223*(1+K223)</f>
        <v>25134.731276670082</v>
      </c>
      <c r="G224" s="70">
        <f>+G223*(1+K223)</f>
        <v>-969.86755117752239</v>
      </c>
      <c r="H224" s="70">
        <f>+H221*(1+K223)</f>
        <v>-574.46001108207088</v>
      </c>
      <c r="I224" s="70">
        <f t="shared" ref="I224:I287" si="93">+F224+G224+H224</f>
        <v>23590.403714410488</v>
      </c>
      <c r="J224" s="123">
        <f t="shared" si="81"/>
        <v>4.0741237836483535E-3</v>
      </c>
      <c r="K224" s="123">
        <f t="shared" ref="K224:K287" si="94">((+K223+1)*(J224+1))-1</f>
        <v>5.4277829972831704E-2</v>
      </c>
      <c r="L224" s="124">
        <f t="shared" si="80"/>
        <v>0.1075</v>
      </c>
      <c r="M224" s="125">
        <f>+Dashboard!$B$36</f>
        <v>1</v>
      </c>
      <c r="N224" s="160">
        <f t="shared" si="82"/>
        <v>8.5450710394860963E-3</v>
      </c>
      <c r="O224" s="70">
        <f t="shared" si="87"/>
        <v>5879968.8250045199</v>
      </c>
    </row>
    <row r="225" spans="1:15" outlineLevel="1" x14ac:dyDescent="0.25">
      <c r="A225" s="122">
        <v>218</v>
      </c>
      <c r="B225" s="70">
        <f>IF($D$1="SAC",-'Price x SAC x SACRE'!G224,IF('Base dinâmica'!$D$1="Price",-'Price x SAC x SACRE'!B224,IF('Base dinâmica'!$D$1="sacre",-'Price x SAC x SACRE'!L224,0)))</f>
        <v>-4100.9182743504398</v>
      </c>
      <c r="C225" s="70">
        <f>IF($D$1="SAC",-'Price x SAC x SACRE'!H224,IF('Base dinâmica'!$D$1="Price",-'Price x SAC x SACRE'!C224,IF('Base dinâmica'!$D$1="sacre",-'Price x SAC x SACRE'!M224,0)))</f>
        <v>-1062.5915166358504</v>
      </c>
      <c r="D225" s="70">
        <f>IF($D$1="SAC",-'Price x SAC x SACRE'!I224,IF('Base dinâmica'!$D$1="Price",-'Price x SAC x SACRE'!D224,IF('Base dinâmica'!$D$1="sacre",-'Price x SAC x SACRE'!N224,0)))</f>
        <v>-3038.3267577145893</v>
      </c>
      <c r="E225" s="70">
        <f>IF($D$1="SAC",-'Price x SAC x SACRE'!J224,IF('Base dinâmica'!$D$1="Price",-'Price x SAC x SACRE'!E224,IF('Base dinâmica'!$D$1="sacre",-'Price x SAC x SACRE'!O224,0)))</f>
        <v>-319139.01670278714</v>
      </c>
      <c r="F225" s="70">
        <f>+F224</f>
        <v>25134.731276670082</v>
      </c>
      <c r="G225" s="70">
        <f>+G224</f>
        <v>-969.86755117752239</v>
      </c>
      <c r="H225" s="70">
        <f>+H224</f>
        <v>-574.46001108207088</v>
      </c>
      <c r="I225" s="70">
        <f t="shared" si="93"/>
        <v>23590.403714410488</v>
      </c>
      <c r="J225" s="123">
        <f t="shared" si="81"/>
        <v>4.0741237836483535E-3</v>
      </c>
      <c r="K225" s="123">
        <f t="shared" si="94"/>
        <v>5.857308835449726E-2</v>
      </c>
      <c r="L225" s="124">
        <f t="shared" si="80"/>
        <v>0.1075</v>
      </c>
      <c r="M225" s="125">
        <f>+Dashboard!$B$36</f>
        <v>1</v>
      </c>
      <c r="N225" s="160">
        <f t="shared" si="82"/>
        <v>8.5450710394860963E-3</v>
      </c>
      <c r="O225" s="70">
        <f t="shared" si="87"/>
        <v>5949703.0617642067</v>
      </c>
    </row>
    <row r="226" spans="1:15" outlineLevel="1" x14ac:dyDescent="0.25">
      <c r="A226" s="122">
        <v>219</v>
      </c>
      <c r="B226" s="70">
        <f>IF($D$1="SAC",-'Price x SAC x SACRE'!G225,IF('Base dinâmica'!$D$1="Price",-'Price x SAC x SACRE'!B225,IF('Base dinâmica'!$D$1="sacre",-'Price x SAC x SACRE'!L225,0)))</f>
        <v>-4100.9182743504398</v>
      </c>
      <c r="C226" s="70">
        <f>IF($D$1="SAC",-'Price x SAC x SACRE'!H225,IF('Base dinâmica'!$D$1="Price",-'Price x SAC x SACRE'!C225,IF('Base dinâmica'!$D$1="sacre",-'Price x SAC x SACRE'!M225,0)))</f>
        <v>-1072.6742275112526</v>
      </c>
      <c r="D226" s="70">
        <f>IF($D$1="SAC",-'Price x SAC x SACRE'!I225,IF('Base dinâmica'!$D$1="Price",-'Price x SAC x SACRE'!D225,IF('Base dinâmica'!$D$1="sacre",-'Price x SAC x SACRE'!N225,0)))</f>
        <v>-3028.2440468391874</v>
      </c>
      <c r="E226" s="70">
        <f>IF($D$1="SAC",-'Price x SAC x SACRE'!J225,IF('Base dinâmica'!$D$1="Price",-'Price x SAC x SACRE'!E225,IF('Base dinâmica'!$D$1="sacre",-'Price x SAC x SACRE'!O225,0)))</f>
        <v>-318066.34247527586</v>
      </c>
      <c r="F226" s="70">
        <f t="shared" ref="F226:F234" si="95">+F225</f>
        <v>25134.731276670082</v>
      </c>
      <c r="G226" s="70">
        <f t="shared" ref="G226:G234" si="96">+G225</f>
        <v>-969.86755117752239</v>
      </c>
      <c r="H226" s="70">
        <f t="shared" ref="H226:H233" si="97">+H225</f>
        <v>-574.46001108207088</v>
      </c>
      <c r="I226" s="70">
        <f t="shared" si="93"/>
        <v>23590.403714410488</v>
      </c>
      <c r="J226" s="123">
        <f t="shared" si="81"/>
        <v>4.0741237836483535E-3</v>
      </c>
      <c r="K226" s="123">
        <f t="shared" si="94"/>
        <v>6.2885846150492419E-2</v>
      </c>
      <c r="L226" s="124">
        <f t="shared" si="80"/>
        <v>0.1075</v>
      </c>
      <c r="M226" s="125">
        <f>+Dashboard!$B$36</f>
        <v>1</v>
      </c>
      <c r="N226" s="160">
        <f t="shared" si="82"/>
        <v>8.5450710394860963E-3</v>
      </c>
      <c r="O226" s="70">
        <f t="shared" si="87"/>
        <v>6020033.1825308893</v>
      </c>
    </row>
    <row r="227" spans="1:15" outlineLevel="1" x14ac:dyDescent="0.25">
      <c r="A227" s="122">
        <v>220</v>
      </c>
      <c r="B227" s="70">
        <f>IF($D$1="SAC",-'Price x SAC x SACRE'!G226,IF('Base dinâmica'!$D$1="Price",-'Price x SAC x SACRE'!B226,IF('Base dinâmica'!$D$1="sacre",-'Price x SAC x SACRE'!L226,0)))</f>
        <v>-4100.9182743504398</v>
      </c>
      <c r="C227" s="70">
        <f>IF($D$1="SAC",-'Price x SAC x SACRE'!H226,IF('Base dinâmica'!$D$1="Price",-'Price x SAC x SACRE'!C226,IF('Base dinâmica'!$D$1="sacre",-'Price x SAC x SACRE'!M226,0)))</f>
        <v>-1082.8526111423707</v>
      </c>
      <c r="D227" s="70">
        <f>IF($D$1="SAC",-'Price x SAC x SACRE'!I226,IF('Base dinâmica'!$D$1="Price",-'Price x SAC x SACRE'!D226,IF('Base dinâmica'!$D$1="sacre",-'Price x SAC x SACRE'!N226,0)))</f>
        <v>-3018.0656632080691</v>
      </c>
      <c r="E227" s="70">
        <f>IF($D$1="SAC",-'Price x SAC x SACRE'!J226,IF('Base dinâmica'!$D$1="Price",-'Price x SAC x SACRE'!E226,IF('Base dinâmica'!$D$1="sacre",-'Price x SAC x SACRE'!O226,0)))</f>
        <v>-316983.48986413347</v>
      </c>
      <c r="F227" s="70">
        <f t="shared" si="95"/>
        <v>25134.731276670082</v>
      </c>
      <c r="G227" s="70">
        <f t="shared" si="96"/>
        <v>-969.86755117752239</v>
      </c>
      <c r="H227" s="70">
        <f t="shared" si="97"/>
        <v>-574.46001108207088</v>
      </c>
      <c r="I227" s="70">
        <f t="shared" si="93"/>
        <v>23590.403714410488</v>
      </c>
      <c r="J227" s="123">
        <f t="shared" si="81"/>
        <v>4.0741237836483535E-3</v>
      </c>
      <c r="K227" s="123">
        <f t="shared" si="94"/>
        <v>6.7216174655597261E-2</v>
      </c>
      <c r="L227" s="124">
        <f t="shared" si="80"/>
        <v>0.1075</v>
      </c>
      <c r="M227" s="125">
        <f>+Dashboard!$B$36</f>
        <v>1</v>
      </c>
      <c r="N227" s="160">
        <f t="shared" si="82"/>
        <v>8.5450710394860963E-3</v>
      </c>
      <c r="O227" s="70">
        <f t="shared" si="87"/>
        <v>6090964.2791757388</v>
      </c>
    </row>
    <row r="228" spans="1:15" outlineLevel="1" x14ac:dyDescent="0.25">
      <c r="A228" s="122">
        <v>221</v>
      </c>
      <c r="B228" s="70">
        <f>IF($D$1="SAC",-'Price x SAC x SACRE'!G227,IF('Base dinâmica'!$D$1="Price",-'Price x SAC x SACRE'!B227,IF('Base dinâmica'!$D$1="sacre",-'Price x SAC x SACRE'!L227,0)))</f>
        <v>-4100.9182743504389</v>
      </c>
      <c r="C228" s="70">
        <f>IF($D$1="SAC",-'Price x SAC x SACRE'!H227,IF('Base dinâmica'!$D$1="Price",-'Price x SAC x SACRE'!C227,IF('Base dinâmica'!$D$1="sacre",-'Price x SAC x SACRE'!M227,0)))</f>
        <v>-1093.127575348173</v>
      </c>
      <c r="D228" s="70">
        <f>IF($D$1="SAC",-'Price x SAC x SACRE'!I227,IF('Base dinâmica'!$D$1="Price",-'Price x SAC x SACRE'!D227,IF('Base dinâmica'!$D$1="sacre",-'Price x SAC x SACRE'!N227,0)))</f>
        <v>-3007.7906990022661</v>
      </c>
      <c r="E228" s="70">
        <f>IF($D$1="SAC",-'Price x SAC x SACRE'!J227,IF('Base dinâmica'!$D$1="Price",-'Price x SAC x SACRE'!E227,IF('Base dinâmica'!$D$1="sacre",-'Price x SAC x SACRE'!O227,0)))</f>
        <v>-315890.36228878528</v>
      </c>
      <c r="F228" s="70">
        <f t="shared" si="95"/>
        <v>25134.731276670082</v>
      </c>
      <c r="G228" s="70">
        <f t="shared" si="96"/>
        <v>-969.86755117752239</v>
      </c>
      <c r="H228" s="70">
        <f t="shared" si="97"/>
        <v>-574.46001108207088</v>
      </c>
      <c r="I228" s="70">
        <f t="shared" si="93"/>
        <v>23590.403714410488</v>
      </c>
      <c r="J228" s="123">
        <f t="shared" si="81"/>
        <v>4.0741237836483535E-3</v>
      </c>
      <c r="K228" s="123">
        <f t="shared" si="94"/>
        <v>7.1564145455055739E-2</v>
      </c>
      <c r="L228" s="124">
        <f t="shared" si="80"/>
        <v>0.1075</v>
      </c>
      <c r="M228" s="125">
        <f>+Dashboard!$B$36</f>
        <v>1</v>
      </c>
      <c r="N228" s="160">
        <f t="shared" si="82"/>
        <v>8.5450710394860963E-3</v>
      </c>
      <c r="O228" s="70">
        <f t="shared" si="87"/>
        <v>6162501.4870803272</v>
      </c>
    </row>
    <row r="229" spans="1:15" outlineLevel="1" x14ac:dyDescent="0.25">
      <c r="A229" s="122">
        <v>222</v>
      </c>
      <c r="B229" s="70">
        <f>IF($D$1="SAC",-'Price x SAC x SACRE'!G228,IF('Base dinâmica'!$D$1="Price",-'Price x SAC x SACRE'!B228,IF('Base dinâmica'!$D$1="sacre",-'Price x SAC x SACRE'!L228,0)))</f>
        <v>-4100.9182743504389</v>
      </c>
      <c r="C229" s="70">
        <f>IF($D$1="SAC",-'Price x SAC x SACRE'!H228,IF('Base dinâmica'!$D$1="Price",-'Price x SAC x SACRE'!C228,IF('Base dinâmica'!$D$1="sacre",-'Price x SAC x SACRE'!M228,0)))</f>
        <v>-1103.5000365617348</v>
      </c>
      <c r="D229" s="70">
        <f>IF($D$1="SAC",-'Price x SAC x SACRE'!I228,IF('Base dinâmica'!$D$1="Price",-'Price x SAC x SACRE'!D228,IF('Base dinâmica'!$D$1="sacre",-'Price x SAC x SACRE'!N228,0)))</f>
        <v>-2997.4182377887046</v>
      </c>
      <c r="E229" s="70">
        <f>IF($D$1="SAC",-'Price x SAC x SACRE'!J228,IF('Base dinâmica'!$D$1="Price",-'Price x SAC x SACRE'!E228,IF('Base dinâmica'!$D$1="sacre",-'Price x SAC x SACRE'!O228,0)))</f>
        <v>-314786.86225222354</v>
      </c>
      <c r="F229" s="70">
        <f t="shared" si="95"/>
        <v>25134.731276670082</v>
      </c>
      <c r="G229" s="70">
        <f t="shared" si="96"/>
        <v>-969.86755117752239</v>
      </c>
      <c r="H229" s="70">
        <f t="shared" si="97"/>
        <v>-574.46001108207088</v>
      </c>
      <c r="I229" s="70">
        <f t="shared" si="93"/>
        <v>23590.403714410488</v>
      </c>
      <c r="J229" s="123">
        <f t="shared" si="81"/>
        <v>4.0741237836483535E-3</v>
      </c>
      <c r="K229" s="123">
        <f t="shared" si="94"/>
        <v>7.592983042575896E-2</v>
      </c>
      <c r="L229" s="124">
        <f t="shared" si="80"/>
        <v>0.1075</v>
      </c>
      <c r="M229" s="125">
        <f>+Dashboard!$B$36</f>
        <v>1</v>
      </c>
      <c r="N229" s="160">
        <f t="shared" si="82"/>
        <v>8.5450710394860963E-3</v>
      </c>
      <c r="O229" s="70">
        <f t="shared" si="87"/>
        <v>6234649.985508427</v>
      </c>
    </row>
    <row r="230" spans="1:15" outlineLevel="1" x14ac:dyDescent="0.25">
      <c r="A230" s="122">
        <v>223</v>
      </c>
      <c r="B230" s="70">
        <f>IF($D$1="SAC",-'Price x SAC x SACRE'!G229,IF('Base dinâmica'!$D$1="Price",-'Price x SAC x SACRE'!B229,IF('Base dinâmica'!$D$1="sacre",-'Price x SAC x SACRE'!L229,0)))</f>
        <v>-4100.9182743504389</v>
      </c>
      <c r="C230" s="70">
        <f>IF($D$1="SAC",-'Price x SAC x SACRE'!H229,IF('Base dinâmica'!$D$1="Price",-'Price x SAC x SACRE'!C229,IF('Base dinâmica'!$D$1="sacre",-'Price x SAC x SACRE'!M229,0)))</f>
        <v>-1113.9709199119739</v>
      </c>
      <c r="D230" s="70">
        <f>IF($D$1="SAC",-'Price x SAC x SACRE'!I229,IF('Base dinâmica'!$D$1="Price",-'Price x SAC x SACRE'!D229,IF('Base dinâmica'!$D$1="sacre",-'Price x SAC x SACRE'!N229,0)))</f>
        <v>-2986.947354438465</v>
      </c>
      <c r="E230" s="70">
        <f>IF($D$1="SAC",-'Price x SAC x SACRE'!J229,IF('Base dinâmica'!$D$1="Price",-'Price x SAC x SACRE'!E229,IF('Base dinâmica'!$D$1="sacre",-'Price x SAC x SACRE'!O229,0)))</f>
        <v>-313672.89133231156</v>
      </c>
      <c r="F230" s="70">
        <f t="shared" si="95"/>
        <v>25134.731276670082</v>
      </c>
      <c r="G230" s="70">
        <f t="shared" si="96"/>
        <v>-969.86755117752239</v>
      </c>
      <c r="H230" s="70">
        <f t="shared" si="97"/>
        <v>-574.46001108207088</v>
      </c>
      <c r="I230" s="70">
        <f t="shared" si="93"/>
        <v>23590.403714410488</v>
      </c>
      <c r="J230" s="123">
        <f t="shared" si="81"/>
        <v>4.0741237836483535E-3</v>
      </c>
      <c r="K230" s="123">
        <f t="shared" si="94"/>
        <v>8.031330173743334E-2</v>
      </c>
      <c r="L230" s="124">
        <f t="shared" si="80"/>
        <v>0.1075</v>
      </c>
      <c r="M230" s="125">
        <f>+Dashboard!$B$36</f>
        <v>1</v>
      </c>
      <c r="N230" s="160">
        <f t="shared" si="82"/>
        <v>8.5450710394860963E-3</v>
      </c>
      <c r="O230" s="70">
        <f t="shared" si="87"/>
        <v>6307414.9979809867</v>
      </c>
    </row>
    <row r="231" spans="1:15" outlineLevel="1" x14ac:dyDescent="0.25">
      <c r="A231" s="122">
        <v>224</v>
      </c>
      <c r="B231" s="70">
        <f>IF($D$1="SAC",-'Price x SAC x SACRE'!G230,IF('Base dinâmica'!$D$1="Price",-'Price x SAC x SACRE'!B230,IF('Base dinâmica'!$D$1="sacre",-'Price x SAC x SACRE'!L230,0)))</f>
        <v>-4100.9182743504389</v>
      </c>
      <c r="C231" s="70">
        <f>IF($D$1="SAC",-'Price x SAC x SACRE'!H230,IF('Base dinâmica'!$D$1="Price",-'Price x SAC x SACRE'!C230,IF('Base dinâmica'!$D$1="sacre",-'Price x SAC x SACRE'!M230,0)))</f>
        <v>-1124.5411593061656</v>
      </c>
      <c r="D231" s="70">
        <f>IF($D$1="SAC",-'Price x SAC x SACRE'!I230,IF('Base dinâmica'!$D$1="Price",-'Price x SAC x SACRE'!D230,IF('Base dinâmica'!$D$1="sacre",-'Price x SAC x SACRE'!N230,0)))</f>
        <v>-2976.3771150442735</v>
      </c>
      <c r="E231" s="70">
        <f>IF($D$1="SAC",-'Price x SAC x SACRE'!J230,IF('Base dinâmica'!$D$1="Price",-'Price x SAC x SACRE'!E230,IF('Base dinâmica'!$D$1="sacre",-'Price x SAC x SACRE'!O230,0)))</f>
        <v>-312548.35017300537</v>
      </c>
      <c r="F231" s="70">
        <f t="shared" si="95"/>
        <v>25134.731276670082</v>
      </c>
      <c r="G231" s="70">
        <f t="shared" si="96"/>
        <v>-969.86755117752239</v>
      </c>
      <c r="H231" s="70">
        <f t="shared" si="97"/>
        <v>-574.46001108207088</v>
      </c>
      <c r="I231" s="70">
        <f t="shared" si="93"/>
        <v>23590.403714410488</v>
      </c>
      <c r="J231" s="123">
        <f t="shared" si="81"/>
        <v>4.0741237836483535E-3</v>
      </c>
      <c r="K231" s="123">
        <f t="shared" si="94"/>
        <v>8.4714631853833433E-2</v>
      </c>
      <c r="L231" s="124">
        <f t="shared" si="80"/>
        <v>0.1075</v>
      </c>
      <c r="M231" s="125">
        <f>+Dashboard!$B$36</f>
        <v>1</v>
      </c>
      <c r="N231" s="160">
        <f t="shared" si="82"/>
        <v>8.5450710394860963E-3</v>
      </c>
      <c r="O231" s="70">
        <f t="shared" si="87"/>
        <v>6380801.7926543141</v>
      </c>
    </row>
    <row r="232" spans="1:15" outlineLevel="1" x14ac:dyDescent="0.25">
      <c r="A232" s="122">
        <v>225</v>
      </c>
      <c r="B232" s="70">
        <f>IF($D$1="SAC",-'Price x SAC x SACRE'!G231,IF('Base dinâmica'!$D$1="Price",-'Price x SAC x SACRE'!B231,IF('Base dinâmica'!$D$1="sacre",-'Price x SAC x SACRE'!L231,0)))</f>
        <v>-4100.9182743504389</v>
      </c>
      <c r="C232" s="70">
        <f>IF($D$1="SAC",-'Price x SAC x SACRE'!H231,IF('Base dinâmica'!$D$1="Price",-'Price x SAC x SACRE'!C231,IF('Base dinâmica'!$D$1="sacre",-'Price x SAC x SACRE'!M231,0)))</f>
        <v>-1135.2116975132381</v>
      </c>
      <c r="D232" s="70">
        <f>IF($D$1="SAC",-'Price x SAC x SACRE'!I231,IF('Base dinâmica'!$D$1="Price",-'Price x SAC x SACRE'!D231,IF('Base dinâmica'!$D$1="sacre",-'Price x SAC x SACRE'!N231,0)))</f>
        <v>-2965.7065768372008</v>
      </c>
      <c r="E232" s="70">
        <f>IF($D$1="SAC",-'Price x SAC x SACRE'!J231,IF('Base dinâmica'!$D$1="Price",-'Price x SAC x SACRE'!E231,IF('Base dinâmica'!$D$1="sacre",-'Price x SAC x SACRE'!O231,0)))</f>
        <v>-311413.13847549213</v>
      </c>
      <c r="F232" s="70">
        <f t="shared" si="95"/>
        <v>25134.731276670082</v>
      </c>
      <c r="G232" s="70">
        <f t="shared" si="96"/>
        <v>-969.86755117752239</v>
      </c>
      <c r="H232" s="70">
        <f t="shared" si="97"/>
        <v>-574.46001108207088</v>
      </c>
      <c r="I232" s="70">
        <f t="shared" si="93"/>
        <v>23590.403714410488</v>
      </c>
      <c r="J232" s="123">
        <f t="shared" si="81"/>
        <v>4.0741237836483535E-3</v>
      </c>
      <c r="K232" s="123">
        <f t="shared" si="94"/>
        <v>8.9133893533940523E-2</v>
      </c>
      <c r="L232" s="124">
        <f t="shared" si="80"/>
        <v>0.1075</v>
      </c>
      <c r="M232" s="125">
        <f>+Dashboard!$B$36</f>
        <v>1</v>
      </c>
      <c r="N232" s="160">
        <f t="shared" si="82"/>
        <v>8.5450710394860963E-3</v>
      </c>
      <c r="O232" s="70">
        <f t="shared" si="87"/>
        <v>6454815.6827014852</v>
      </c>
    </row>
    <row r="233" spans="1:15" outlineLevel="1" x14ac:dyDescent="0.25">
      <c r="A233" s="122">
        <v>226</v>
      </c>
      <c r="B233" s="70">
        <f>IF($D$1="SAC",-'Price x SAC x SACRE'!G232,IF('Base dinâmica'!$D$1="Price",-'Price x SAC x SACRE'!B232,IF('Base dinâmica'!$D$1="sacre",-'Price x SAC x SACRE'!L232,0)))</f>
        <v>-4100.9182743504389</v>
      </c>
      <c r="C233" s="70">
        <f>IF($D$1="SAC",-'Price x SAC x SACRE'!H232,IF('Base dinâmica'!$D$1="Price",-'Price x SAC x SACRE'!C232,IF('Base dinâmica'!$D$1="sacre",-'Price x SAC x SACRE'!M232,0)))</f>
        <v>-1145.9834862478574</v>
      </c>
      <c r="D233" s="70">
        <f>IF($D$1="SAC",-'Price x SAC x SACRE'!I232,IF('Base dinâmica'!$D$1="Price",-'Price x SAC x SACRE'!D232,IF('Base dinâmica'!$D$1="sacre",-'Price x SAC x SACRE'!N232,0)))</f>
        <v>-2954.9347881025815</v>
      </c>
      <c r="E233" s="70">
        <f>IF($D$1="SAC",-'Price x SAC x SACRE'!J232,IF('Base dinâmica'!$D$1="Price",-'Price x SAC x SACRE'!E232,IF('Base dinâmica'!$D$1="sacre",-'Price x SAC x SACRE'!O232,0)))</f>
        <v>-310267.1549892443</v>
      </c>
      <c r="F233" s="70">
        <f t="shared" si="95"/>
        <v>25134.731276670082</v>
      </c>
      <c r="G233" s="70">
        <f t="shared" si="96"/>
        <v>-969.86755117752239</v>
      </c>
      <c r="H233" s="70">
        <f t="shared" si="97"/>
        <v>-574.46001108207088</v>
      </c>
      <c r="I233" s="70">
        <f t="shared" si="93"/>
        <v>23590.403714410488</v>
      </c>
      <c r="J233" s="123">
        <f t="shared" si="81"/>
        <v>4.0741237836483535E-3</v>
      </c>
      <c r="K233" s="123">
        <f t="shared" si="94"/>
        <v>9.3571159833164774E-2</v>
      </c>
      <c r="L233" s="124">
        <f t="shared" si="80"/>
        <v>0.1075</v>
      </c>
      <c r="M233" s="125">
        <f>+Dashboard!$B$36</f>
        <v>1</v>
      </c>
      <c r="N233" s="160">
        <f t="shared" si="82"/>
        <v>8.5450710394860963E-3</v>
      </c>
      <c r="O233" s="70">
        <f t="shared" si="87"/>
        <v>6529462.0266970182</v>
      </c>
    </row>
    <row r="234" spans="1:15" outlineLevel="1" x14ac:dyDescent="0.25">
      <c r="A234" s="122">
        <v>227</v>
      </c>
      <c r="B234" s="70">
        <f>IF($D$1="SAC",-'Price x SAC x SACRE'!G233,IF('Base dinâmica'!$D$1="Price",-'Price x SAC x SACRE'!B233,IF('Base dinâmica'!$D$1="sacre",-'Price x SAC x SACRE'!L233,0)))</f>
        <v>-4100.9182743504389</v>
      </c>
      <c r="C234" s="70">
        <f>IF($D$1="SAC",-'Price x SAC x SACRE'!H233,IF('Base dinâmica'!$D$1="Price",-'Price x SAC x SACRE'!C233,IF('Base dinâmica'!$D$1="sacre",-'Price x SAC x SACRE'!M233,0)))</f>
        <v>-1156.8574862553151</v>
      </c>
      <c r="D234" s="70">
        <f>IF($D$1="SAC",-'Price x SAC x SACRE'!I233,IF('Base dinâmica'!$D$1="Price",-'Price x SAC x SACRE'!D233,IF('Base dinâmica'!$D$1="sacre",-'Price x SAC x SACRE'!N233,0)))</f>
        <v>-2944.0607880951243</v>
      </c>
      <c r="E234" s="70">
        <f>IF($D$1="SAC",-'Price x SAC x SACRE'!J233,IF('Base dinâmica'!$D$1="Price",-'Price x SAC x SACRE'!E233,IF('Base dinâmica'!$D$1="sacre",-'Price x SAC x SACRE'!O233,0)))</f>
        <v>-309110.29750298901</v>
      </c>
      <c r="F234" s="70">
        <f t="shared" si="95"/>
        <v>25134.731276670082</v>
      </c>
      <c r="G234" s="70">
        <f t="shared" si="96"/>
        <v>-969.86755117752239</v>
      </c>
      <c r="H234" s="70">
        <v>0</v>
      </c>
      <c r="I234" s="70">
        <f t="shared" si="93"/>
        <v>24164.86372549256</v>
      </c>
      <c r="J234" s="123">
        <f t="shared" si="81"/>
        <v>4.0741237836483535E-3</v>
      </c>
      <c r="K234" s="123">
        <f t="shared" si="94"/>
        <v>9.8026504104552936E-2</v>
      </c>
      <c r="L234" s="124">
        <f t="shared" si="80"/>
        <v>0.1075</v>
      </c>
      <c r="M234" s="125">
        <f>+Dashboard!$B$36</f>
        <v>1</v>
      </c>
      <c r="N234" s="160">
        <f t="shared" si="82"/>
        <v>8.5450710394860963E-3</v>
      </c>
      <c r="O234" s="70">
        <f t="shared" si="87"/>
        <v>6605320.6890159138</v>
      </c>
    </row>
    <row r="235" spans="1:15" s="53" customFormat="1" x14ac:dyDescent="0.25">
      <c r="A235" s="68">
        <v>228</v>
      </c>
      <c r="B235" s="64">
        <f>IF($D$1="SAC",-'Price x SAC x SACRE'!G234,IF('Base dinâmica'!$D$1="Price",-'Price x SAC x SACRE'!B234,IF('Base dinâmica'!$D$1="sacre",-'Price x SAC x SACRE'!L234,0)))</f>
        <v>-4100.9182743504389</v>
      </c>
      <c r="C235" s="64">
        <f>IF($D$1="SAC",-'Price x SAC x SACRE'!H234,IF('Base dinâmica'!$D$1="Price",-'Price x SAC x SACRE'!C234,IF('Base dinâmica'!$D$1="sacre",-'Price x SAC x SACRE'!M234,0)))</f>
        <v>-1167.8346673972139</v>
      </c>
      <c r="D235" s="64">
        <f>IF($D$1="SAC",-'Price x SAC x SACRE'!I234,IF('Base dinâmica'!$D$1="Price",-'Price x SAC x SACRE'!D234,IF('Base dinâmica'!$D$1="sacre",-'Price x SAC x SACRE'!N234,0)))</f>
        <v>-2933.0836069532252</v>
      </c>
      <c r="E235" s="64">
        <f>IF($D$1="SAC",-'Price x SAC x SACRE'!J234,IF('Base dinâmica'!$D$1="Price",-'Price x SAC x SACRE'!E234,IF('Base dinâmica'!$D$1="sacre",-'Price x SAC x SACRE'!O234,0)))</f>
        <v>-307942.46283559181</v>
      </c>
      <c r="F235" s="64">
        <f>+F234</f>
        <v>25134.731276670082</v>
      </c>
      <c r="G235" s="64">
        <f>+G234</f>
        <v>-969.86755117752239</v>
      </c>
      <c r="H235" s="64">
        <v>0</v>
      </c>
      <c r="I235" s="64">
        <f t="shared" si="93"/>
        <v>24164.86372549256</v>
      </c>
      <c r="J235" s="119">
        <f t="shared" si="81"/>
        <v>4.0741237836483535E-3</v>
      </c>
      <c r="K235" s="119">
        <f t="shared" si="94"/>
        <v>0.10250000000000159</v>
      </c>
      <c r="L235" s="120">
        <f t="shared" si="80"/>
        <v>0.1075</v>
      </c>
      <c r="M235" s="121">
        <f>+Dashboard!$B$36</f>
        <v>1</v>
      </c>
      <c r="N235" s="160">
        <f t="shared" si="82"/>
        <v>8.5450710394860963E-3</v>
      </c>
      <c r="O235" s="64">
        <f t="shared" si="87"/>
        <v>6681827.5689932844</v>
      </c>
    </row>
    <row r="236" spans="1:15" outlineLevel="1" x14ac:dyDescent="0.25">
      <c r="A236" s="122">
        <v>229</v>
      </c>
      <c r="B236" s="70">
        <f>IF($D$1="SAC",-'Price x SAC x SACRE'!G235,IF('Base dinâmica'!$D$1="Price",-'Price x SAC x SACRE'!B235,IF('Base dinâmica'!$D$1="sacre",-'Price x SAC x SACRE'!L235,0)))</f>
        <v>-4100.9182743504398</v>
      </c>
      <c r="C236" s="70">
        <f>IF($D$1="SAC",-'Price x SAC x SACRE'!H235,IF('Base dinâmica'!$D$1="Price",-'Price x SAC x SACRE'!C235,IF('Base dinâmica'!$D$1="sacre",-'Price x SAC x SACRE'!M235,0)))</f>
        <v>-1178.9160087379739</v>
      </c>
      <c r="D236" s="70">
        <f>IF($D$1="SAC",-'Price x SAC x SACRE'!I235,IF('Base dinâmica'!$D$1="Price",-'Price x SAC x SACRE'!D235,IF('Base dinâmica'!$D$1="sacre",-'Price x SAC x SACRE'!N235,0)))</f>
        <v>-2922.0022656124656</v>
      </c>
      <c r="E236" s="70">
        <f>IF($D$1="SAC",-'Price x SAC x SACRE'!J235,IF('Base dinâmica'!$D$1="Price",-'Price x SAC x SACRE'!E235,IF('Base dinâmica'!$D$1="sacre",-'Price x SAC x SACRE'!O235,0)))</f>
        <v>-306763.54682685382</v>
      </c>
      <c r="F236" s="70">
        <f>+F235*(1+K235)</f>
        <v>27711.041232528805</v>
      </c>
      <c r="G236" s="70">
        <f>+G235*(1+K235)</f>
        <v>-1069.27897517322</v>
      </c>
      <c r="H236" s="70">
        <f>+H233*(1+K235)</f>
        <v>-633.34216221798408</v>
      </c>
      <c r="I236" s="70">
        <f t="shared" si="93"/>
        <v>26008.420095137601</v>
      </c>
      <c r="J236" s="123">
        <f t="shared" si="81"/>
        <v>4.0741237836483535E-3</v>
      </c>
      <c r="K236" s="123">
        <f>+J236</f>
        <v>4.0741237836483535E-3</v>
      </c>
      <c r="L236" s="124">
        <f t="shared" si="80"/>
        <v>0.1075</v>
      </c>
      <c r="M236" s="125">
        <f>+Dashboard!$B$36</f>
        <v>1</v>
      </c>
      <c r="N236" s="160">
        <f t="shared" si="82"/>
        <v>8.5450710394860963E-3</v>
      </c>
      <c r="O236" s="70">
        <f t="shared" si="87"/>
        <v>6760831.7620647158</v>
      </c>
    </row>
    <row r="237" spans="1:15" outlineLevel="1" x14ac:dyDescent="0.25">
      <c r="A237" s="122">
        <v>230</v>
      </c>
      <c r="B237" s="70">
        <f>IF($D$1="SAC",-'Price x SAC x SACRE'!G236,IF('Base dinâmica'!$D$1="Price",-'Price x SAC x SACRE'!B236,IF('Base dinâmica'!$D$1="sacre",-'Price x SAC x SACRE'!L236,0)))</f>
        <v>-4100.9182743504389</v>
      </c>
      <c r="C237" s="70">
        <f>IF($D$1="SAC",-'Price x SAC x SACRE'!H236,IF('Base dinâmica'!$D$1="Price",-'Price x SAC x SACRE'!C236,IF('Base dinâmica'!$D$1="sacre",-'Price x SAC x SACRE'!M236,0)))</f>
        <v>-1190.1024986321536</v>
      </c>
      <c r="D237" s="70">
        <f>IF($D$1="SAC",-'Price x SAC x SACRE'!I236,IF('Base dinâmica'!$D$1="Price",-'Price x SAC x SACRE'!D236,IF('Base dinâmica'!$D$1="sacre",-'Price x SAC x SACRE'!N236,0)))</f>
        <v>-2910.8157757182857</v>
      </c>
      <c r="E237" s="70">
        <f>IF($D$1="SAC",-'Price x SAC x SACRE'!J236,IF('Base dinâmica'!$D$1="Price",-'Price x SAC x SACRE'!E236,IF('Base dinâmica'!$D$1="sacre",-'Price x SAC x SACRE'!O236,0)))</f>
        <v>-305573.44432822167</v>
      </c>
      <c r="F237" s="70">
        <f>+F236</f>
        <v>27711.041232528805</v>
      </c>
      <c r="G237" s="70">
        <f>+G236</f>
        <v>-1069.27897517322</v>
      </c>
      <c r="H237" s="70">
        <f>+H236</f>
        <v>-633.34216221798408</v>
      </c>
      <c r="I237" s="70">
        <f t="shared" si="93"/>
        <v>26008.420095137601</v>
      </c>
      <c r="J237" s="123">
        <f t="shared" si="81"/>
        <v>4.0741237836483535E-3</v>
      </c>
      <c r="K237" s="123">
        <f t="shared" si="94"/>
        <v>8.1648460519012644E-3</v>
      </c>
      <c r="L237" s="124">
        <f t="shared" si="80"/>
        <v>0.1075</v>
      </c>
      <c r="M237" s="125">
        <f>+Dashboard!$B$36</f>
        <v>1</v>
      </c>
      <c r="N237" s="160">
        <f t="shared" si="82"/>
        <v>8.5450710394860963E-3</v>
      </c>
      <c r="O237" s="70">
        <f t="shared" si="87"/>
        <v>6840511.0515783597</v>
      </c>
    </row>
    <row r="238" spans="1:15" outlineLevel="1" x14ac:dyDescent="0.25">
      <c r="A238" s="122">
        <v>231</v>
      </c>
      <c r="B238" s="70">
        <f>IF($D$1="SAC",-'Price x SAC x SACRE'!G237,IF('Base dinâmica'!$D$1="Price",-'Price x SAC x SACRE'!B237,IF('Base dinâmica'!$D$1="sacre",-'Price x SAC x SACRE'!L237,0)))</f>
        <v>-4100.9182743504389</v>
      </c>
      <c r="C238" s="70">
        <f>IF($D$1="SAC",-'Price x SAC x SACRE'!H237,IF('Base dinâmica'!$D$1="Price",-'Price x SAC x SACRE'!C237,IF('Base dinâmica'!$D$1="sacre",-'Price x SAC x SACRE'!M237,0)))</f>
        <v>-1201.3951348126038</v>
      </c>
      <c r="D238" s="70">
        <f>IF($D$1="SAC",-'Price x SAC x SACRE'!I237,IF('Base dinâmica'!$D$1="Price",-'Price x SAC x SACRE'!D237,IF('Base dinâmica'!$D$1="sacre",-'Price x SAC x SACRE'!N237,0)))</f>
        <v>-2899.5231395378355</v>
      </c>
      <c r="E238" s="70">
        <f>IF($D$1="SAC",-'Price x SAC x SACRE'!J237,IF('Base dinâmica'!$D$1="Price",-'Price x SAC x SACRE'!E237,IF('Base dinâmica'!$D$1="sacre",-'Price x SAC x SACRE'!O237,0)))</f>
        <v>-304372.04919340904</v>
      </c>
      <c r="F238" s="70">
        <f t="shared" ref="F238:F246" si="98">+F237</f>
        <v>27711.041232528805</v>
      </c>
      <c r="G238" s="70">
        <f t="shared" ref="G238:G246" si="99">+G237</f>
        <v>-1069.27897517322</v>
      </c>
      <c r="H238" s="70">
        <f t="shared" ref="H238:H245" si="100">+H237</f>
        <v>-633.34216221798408</v>
      </c>
      <c r="I238" s="70">
        <f t="shared" si="93"/>
        <v>26008.420095137601</v>
      </c>
      <c r="J238" s="123">
        <f t="shared" si="81"/>
        <v>4.0741237836483535E-3</v>
      </c>
      <c r="K238" s="123">
        <f t="shared" si="94"/>
        <v>1.2272234429039575E-2</v>
      </c>
      <c r="L238" s="124">
        <f t="shared" si="80"/>
        <v>0.1075</v>
      </c>
      <c r="M238" s="125">
        <f>+Dashboard!$B$36</f>
        <v>1</v>
      </c>
      <c r="N238" s="160">
        <f t="shared" si="82"/>
        <v>8.5450710394860963E-3</v>
      </c>
      <c r="O238" s="70">
        <f t="shared" si="87"/>
        <v>6920871.2062812736</v>
      </c>
    </row>
    <row r="239" spans="1:15" outlineLevel="1" x14ac:dyDescent="0.25">
      <c r="A239" s="122">
        <v>232</v>
      </c>
      <c r="B239" s="70">
        <f>IF($D$1="SAC",-'Price x SAC x SACRE'!G238,IF('Base dinâmica'!$D$1="Price",-'Price x SAC x SACRE'!B238,IF('Base dinâmica'!$D$1="sacre",-'Price x SAC x SACRE'!L238,0)))</f>
        <v>-4100.9182743504389</v>
      </c>
      <c r="C239" s="70">
        <f>IF($D$1="SAC",-'Price x SAC x SACRE'!H238,IF('Base dinâmica'!$D$1="Price",-'Price x SAC x SACRE'!C238,IF('Base dinâmica'!$D$1="sacre",-'Price x SAC x SACRE'!M238,0)))</f>
        <v>-1212.7949244794563</v>
      </c>
      <c r="D239" s="70">
        <f>IF($D$1="SAC",-'Price x SAC x SACRE'!I238,IF('Base dinâmica'!$D$1="Price",-'Price x SAC x SACRE'!D238,IF('Base dinâmica'!$D$1="sacre",-'Price x SAC x SACRE'!N238,0)))</f>
        <v>-2888.123349870983</v>
      </c>
      <c r="E239" s="70">
        <f>IF($D$1="SAC",-'Price x SAC x SACRE'!J238,IF('Base dinâmica'!$D$1="Price",-'Price x SAC x SACRE'!E238,IF('Base dinâmica'!$D$1="sacre",-'Price x SAC x SACRE'!O238,0)))</f>
        <v>-303159.2542689296</v>
      </c>
      <c r="F239" s="70">
        <f t="shared" si="98"/>
        <v>27711.041232528805</v>
      </c>
      <c r="G239" s="70">
        <f t="shared" si="99"/>
        <v>-1069.27897517322</v>
      </c>
      <c r="H239" s="70">
        <f t="shared" si="100"/>
        <v>-633.34216221798408</v>
      </c>
      <c r="I239" s="70">
        <f t="shared" si="93"/>
        <v>26008.420095137601</v>
      </c>
      <c r="J239" s="123">
        <f t="shared" si="81"/>
        <v>4.0741237836483535E-3</v>
      </c>
      <c r="K239" s="123">
        <f t="shared" si="94"/>
        <v>1.6396356814853741E-2</v>
      </c>
      <c r="L239" s="124">
        <f t="shared" si="80"/>
        <v>0.1075</v>
      </c>
      <c r="M239" s="125">
        <f>+Dashboard!$B$36</f>
        <v>1</v>
      </c>
      <c r="N239" s="160">
        <f t="shared" si="82"/>
        <v>8.5450710394860963E-3</v>
      </c>
      <c r="O239" s="70">
        <f t="shared" si="87"/>
        <v>7001918.044214868</v>
      </c>
    </row>
    <row r="240" spans="1:15" outlineLevel="1" x14ac:dyDescent="0.25">
      <c r="A240" s="122">
        <v>233</v>
      </c>
      <c r="B240" s="70">
        <f>IF($D$1="SAC",-'Price x SAC x SACRE'!G239,IF('Base dinâmica'!$D$1="Price",-'Price x SAC x SACRE'!B239,IF('Base dinâmica'!$D$1="sacre",-'Price x SAC x SACRE'!L239,0)))</f>
        <v>-4100.9182743504389</v>
      </c>
      <c r="C240" s="70">
        <f>IF($D$1="SAC",-'Price x SAC x SACRE'!H239,IF('Base dinâmica'!$D$1="Price",-'Price x SAC x SACRE'!C239,IF('Base dinâmica'!$D$1="sacre",-'Price x SAC x SACRE'!M239,0)))</f>
        <v>-1224.3028843899551</v>
      </c>
      <c r="D240" s="70">
        <f>IF($D$1="SAC",-'Price x SAC x SACRE'!I239,IF('Base dinâmica'!$D$1="Price",-'Price x SAC x SACRE'!D239,IF('Base dinâmica'!$D$1="sacre",-'Price x SAC x SACRE'!N239,0)))</f>
        <v>-2876.6153899604842</v>
      </c>
      <c r="E240" s="70">
        <f>IF($D$1="SAC",-'Price x SAC x SACRE'!J239,IF('Base dinâmica'!$D$1="Price",-'Price x SAC x SACRE'!E239,IF('Base dinâmica'!$D$1="sacre",-'Price x SAC x SACRE'!O239,0)))</f>
        <v>-301934.95138453966</v>
      </c>
      <c r="F240" s="70">
        <f t="shared" si="98"/>
        <v>27711.041232528805</v>
      </c>
      <c r="G240" s="70">
        <f t="shared" si="99"/>
        <v>-1069.27897517322</v>
      </c>
      <c r="H240" s="70">
        <f t="shared" si="100"/>
        <v>-633.34216221798408</v>
      </c>
      <c r="I240" s="70">
        <f t="shared" si="93"/>
        <v>26008.420095137601</v>
      </c>
      <c r="J240" s="123">
        <f t="shared" si="81"/>
        <v>4.0741237836483535E-3</v>
      </c>
      <c r="K240" s="123">
        <f t="shared" si="94"/>
        <v>2.0537281385766715E-2</v>
      </c>
      <c r="L240" s="124">
        <f t="shared" si="80"/>
        <v>0.1075</v>
      </c>
      <c r="M240" s="125">
        <f>+Dashboard!$B$36</f>
        <v>1</v>
      </c>
      <c r="N240" s="160">
        <f t="shared" si="82"/>
        <v>8.5450710394860963E-3</v>
      </c>
      <c r="O240" s="70">
        <f t="shared" si="87"/>
        <v>7083657.4331361307</v>
      </c>
    </row>
    <row r="241" spans="1:15" outlineLevel="1" x14ac:dyDescent="0.25">
      <c r="A241" s="122">
        <v>234</v>
      </c>
      <c r="B241" s="70">
        <f>IF($D$1="SAC",-'Price x SAC x SACRE'!G240,IF('Base dinâmica'!$D$1="Price",-'Price x SAC x SACRE'!B240,IF('Base dinâmica'!$D$1="sacre",-'Price x SAC x SACRE'!L240,0)))</f>
        <v>-4100.9182743504389</v>
      </c>
      <c r="C241" s="70">
        <f>IF($D$1="SAC",-'Price x SAC x SACRE'!H240,IF('Base dinâmica'!$D$1="Price",-'Price x SAC x SACRE'!C240,IF('Base dinâmica'!$D$1="sacre",-'Price x SAC x SACRE'!M240,0)))</f>
        <v>-1235.9200409491441</v>
      </c>
      <c r="D241" s="70">
        <f>IF($D$1="SAC",-'Price x SAC x SACRE'!I240,IF('Base dinâmica'!$D$1="Price",-'Price x SAC x SACRE'!D240,IF('Base dinâmica'!$D$1="sacre",-'Price x SAC x SACRE'!N240,0)))</f>
        <v>-2864.9982334012952</v>
      </c>
      <c r="E241" s="70">
        <f>IF($D$1="SAC",-'Price x SAC x SACRE'!J240,IF('Base dinâmica'!$D$1="Price",-'Price x SAC x SACRE'!E240,IF('Base dinâmica'!$D$1="sacre",-'Price x SAC x SACRE'!O240,0)))</f>
        <v>-300699.03134359053</v>
      </c>
      <c r="F241" s="70">
        <f t="shared" si="98"/>
        <v>27711.041232528805</v>
      </c>
      <c r="G241" s="70">
        <f t="shared" si="99"/>
        <v>-1069.27897517322</v>
      </c>
      <c r="H241" s="70">
        <f t="shared" si="100"/>
        <v>-633.34216221798408</v>
      </c>
      <c r="I241" s="70">
        <f t="shared" si="93"/>
        <v>26008.420095137601</v>
      </c>
      <c r="J241" s="123">
        <f t="shared" si="81"/>
        <v>4.0741237836483535E-3</v>
      </c>
      <c r="K241" s="123">
        <f t="shared" si="94"/>
        <v>2.4695076595960375E-2</v>
      </c>
      <c r="L241" s="124">
        <f t="shared" si="80"/>
        <v>0.1075</v>
      </c>
      <c r="M241" s="125">
        <f>+Dashboard!$B$36</f>
        <v>1</v>
      </c>
      <c r="N241" s="160">
        <f t="shared" si="82"/>
        <v>8.5450710394860963E-3</v>
      </c>
      <c r="O241" s="70">
        <f t="shared" si="87"/>
        <v>7166095.2909424491</v>
      </c>
    </row>
    <row r="242" spans="1:15" outlineLevel="1" x14ac:dyDescent="0.25">
      <c r="A242" s="122">
        <v>235</v>
      </c>
      <c r="B242" s="70">
        <f>IF($D$1="SAC",-'Price x SAC x SACRE'!G241,IF('Base dinâmica'!$D$1="Price",-'Price x SAC x SACRE'!B241,IF('Base dinâmica'!$D$1="sacre",-'Price x SAC x SACRE'!L241,0)))</f>
        <v>-4100.9182743504398</v>
      </c>
      <c r="C242" s="70">
        <f>IF($D$1="SAC",-'Price x SAC x SACRE'!H241,IF('Base dinâmica'!$D$1="Price",-'Price x SAC x SACRE'!C241,IF('Base dinâmica'!$D$1="sacre",-'Price x SAC x SACRE'!M241,0)))</f>
        <v>-1247.647430301412</v>
      </c>
      <c r="D242" s="70">
        <f>IF($D$1="SAC",-'Price x SAC x SACRE'!I241,IF('Base dinâmica'!$D$1="Price",-'Price x SAC x SACRE'!D241,IF('Base dinâmica'!$D$1="sacre",-'Price x SAC x SACRE'!N241,0)))</f>
        <v>-2853.2708440490278</v>
      </c>
      <c r="E242" s="70">
        <f>IF($D$1="SAC",-'Price x SAC x SACRE'!J241,IF('Base dinâmica'!$D$1="Price",-'Price x SAC x SACRE'!E241,IF('Base dinâmica'!$D$1="sacre",-'Price x SAC x SACRE'!O241,0)))</f>
        <v>-299451.38391328912</v>
      </c>
      <c r="F242" s="70">
        <f t="shared" si="98"/>
        <v>27711.041232528805</v>
      </c>
      <c r="G242" s="70">
        <f t="shared" si="99"/>
        <v>-1069.27897517322</v>
      </c>
      <c r="H242" s="70">
        <f t="shared" si="100"/>
        <v>-633.34216221798408</v>
      </c>
      <c r="I242" s="70">
        <f t="shared" si="93"/>
        <v>26008.420095137601</v>
      </c>
      <c r="J242" s="123">
        <f t="shared" si="81"/>
        <v>4.0741237836483535E-3</v>
      </c>
      <c r="K242" s="123">
        <f t="shared" si="94"/>
        <v>2.8869811178507288E-2</v>
      </c>
      <c r="L242" s="124">
        <f t="shared" si="80"/>
        <v>0.1075</v>
      </c>
      <c r="M242" s="125">
        <f>+Dashboard!$B$36</f>
        <v>1</v>
      </c>
      <c r="N242" s="160">
        <f t="shared" si="82"/>
        <v>8.5450710394860963E-3</v>
      </c>
      <c r="O242" s="70">
        <f t="shared" si="87"/>
        <v>7249237.5861000661</v>
      </c>
    </row>
    <row r="243" spans="1:15" outlineLevel="1" x14ac:dyDescent="0.25">
      <c r="A243" s="122">
        <v>236</v>
      </c>
      <c r="B243" s="70">
        <f>IF($D$1="SAC",-'Price x SAC x SACRE'!G242,IF('Base dinâmica'!$D$1="Price",-'Price x SAC x SACRE'!B242,IF('Base dinâmica'!$D$1="sacre",-'Price x SAC x SACRE'!L242,0)))</f>
        <v>-4100.9182743504398</v>
      </c>
      <c r="C243" s="70">
        <f>IF($D$1="SAC",-'Price x SAC x SACRE'!H242,IF('Base dinâmica'!$D$1="Price",-'Price x SAC x SACRE'!C242,IF('Base dinâmica'!$D$1="sacre",-'Price x SAC x SACRE'!M242,0)))</f>
        <v>-1259.4860984229069</v>
      </c>
      <c r="D243" s="70">
        <f>IF($D$1="SAC",-'Price x SAC x SACRE'!I242,IF('Base dinâmica'!$D$1="Price",-'Price x SAC x SACRE'!D242,IF('Base dinâmica'!$D$1="sacre",-'Price x SAC x SACRE'!N242,0)))</f>
        <v>-2841.4321759275331</v>
      </c>
      <c r="E243" s="70">
        <f>IF($D$1="SAC",-'Price x SAC x SACRE'!J242,IF('Base dinâmica'!$D$1="Price",-'Price x SAC x SACRE'!E242,IF('Base dinâmica'!$D$1="sacre",-'Price x SAC x SACRE'!O242,0)))</f>
        <v>-298191.89781486621</v>
      </c>
      <c r="F243" s="70">
        <f t="shared" si="98"/>
        <v>27711.041232528805</v>
      </c>
      <c r="G243" s="70">
        <f t="shared" si="99"/>
        <v>-1069.27897517322</v>
      </c>
      <c r="H243" s="70">
        <f t="shared" si="100"/>
        <v>-633.34216221798408</v>
      </c>
      <c r="I243" s="70">
        <f t="shared" si="93"/>
        <v>26008.420095137601</v>
      </c>
      <c r="J243" s="123">
        <f t="shared" si="81"/>
        <v>4.0741237836483535E-3</v>
      </c>
      <c r="K243" s="123">
        <f t="shared" si="94"/>
        <v>3.3061554146507355E-2</v>
      </c>
      <c r="L243" s="124">
        <f t="shared" si="80"/>
        <v>0.1075</v>
      </c>
      <c r="M243" s="125">
        <f>+Dashboard!$B$36</f>
        <v>1</v>
      </c>
      <c r="N243" s="160">
        <f t="shared" si="82"/>
        <v>8.5450710394860963E-3</v>
      </c>
      <c r="O243" s="70">
        <f t="shared" si="87"/>
        <v>7333090.338076191</v>
      </c>
    </row>
    <row r="244" spans="1:15" outlineLevel="1" x14ac:dyDescent="0.25">
      <c r="A244" s="122">
        <v>237</v>
      </c>
      <c r="B244" s="70">
        <f>IF($D$1="SAC",-'Price x SAC x SACRE'!G243,IF('Base dinâmica'!$D$1="Price",-'Price x SAC x SACRE'!B243,IF('Base dinâmica'!$D$1="sacre",-'Price x SAC x SACRE'!L243,0)))</f>
        <v>-4100.9182743504398</v>
      </c>
      <c r="C244" s="70">
        <f>IF($D$1="SAC",-'Price x SAC x SACRE'!H243,IF('Base dinâmica'!$D$1="Price",-'Price x SAC x SACRE'!C243,IF('Base dinâmica'!$D$1="sacre",-'Price x SAC x SACRE'!M243,0)))</f>
        <v>-1271.4371012148274</v>
      </c>
      <c r="D244" s="70">
        <f>IF($D$1="SAC",-'Price x SAC x SACRE'!I243,IF('Base dinâmica'!$D$1="Price",-'Price x SAC x SACRE'!D243,IF('Base dinâmica'!$D$1="sacre",-'Price x SAC x SACRE'!N243,0)))</f>
        <v>-2829.4811731356122</v>
      </c>
      <c r="E244" s="70">
        <f>IF($D$1="SAC",-'Price x SAC x SACRE'!J243,IF('Base dinâmica'!$D$1="Price",-'Price x SAC x SACRE'!E243,IF('Base dinâmica'!$D$1="sacre",-'Price x SAC x SACRE'!O243,0)))</f>
        <v>-296920.46071365138</v>
      </c>
      <c r="F244" s="70">
        <f t="shared" si="98"/>
        <v>27711.041232528805</v>
      </c>
      <c r="G244" s="70">
        <f t="shared" si="99"/>
        <v>-1069.27897517322</v>
      </c>
      <c r="H244" s="70">
        <f t="shared" si="100"/>
        <v>-633.34216221798408</v>
      </c>
      <c r="I244" s="70">
        <f t="shared" si="93"/>
        <v>26008.420095137601</v>
      </c>
      <c r="J244" s="123">
        <f t="shared" si="81"/>
        <v>4.0741237836483535E-3</v>
      </c>
      <c r="K244" s="123">
        <f t="shared" si="94"/>
        <v>3.7270374794228456E-2</v>
      </c>
      <c r="L244" s="124">
        <f t="shared" si="80"/>
        <v>0.1075</v>
      </c>
      <c r="M244" s="125">
        <f>+Dashboard!$B$36</f>
        <v>1</v>
      </c>
      <c r="N244" s="160">
        <f t="shared" si="82"/>
        <v>8.5450710394860963E-3</v>
      </c>
      <c r="O244" s="70">
        <f t="shared" si="87"/>
        <v>7417659.6177748078</v>
      </c>
    </row>
    <row r="245" spans="1:15" outlineLevel="1" x14ac:dyDescent="0.25">
      <c r="A245" s="122">
        <v>238</v>
      </c>
      <c r="B245" s="70">
        <f>IF($D$1="SAC",-'Price x SAC x SACRE'!G244,IF('Base dinâmica'!$D$1="Price",-'Price x SAC x SACRE'!B244,IF('Base dinâmica'!$D$1="sacre",-'Price x SAC x SACRE'!L244,0)))</f>
        <v>-4100.9182743504389</v>
      </c>
      <c r="C245" s="70">
        <f>IF($D$1="SAC",-'Price x SAC x SACRE'!H244,IF('Base dinâmica'!$D$1="Price",-'Price x SAC x SACRE'!C244,IF('Base dinâmica'!$D$1="sacre",-'Price x SAC x SACRE'!M244,0)))</f>
        <v>-1283.5015045976013</v>
      </c>
      <c r="D245" s="70">
        <f>IF($D$1="SAC",-'Price x SAC x SACRE'!I244,IF('Base dinâmica'!$D$1="Price",-'Price x SAC x SACRE'!D244,IF('Base dinâmica'!$D$1="sacre",-'Price x SAC x SACRE'!N244,0)))</f>
        <v>-2817.4167697528378</v>
      </c>
      <c r="E245" s="70">
        <f>IF($D$1="SAC",-'Price x SAC x SACRE'!J244,IF('Base dinâmica'!$D$1="Price",-'Price x SAC x SACRE'!E244,IF('Base dinâmica'!$D$1="sacre",-'Price x SAC x SACRE'!O244,0)))</f>
        <v>-295636.95920905378</v>
      </c>
      <c r="F245" s="70">
        <f t="shared" si="98"/>
        <v>27711.041232528805</v>
      </c>
      <c r="G245" s="70">
        <f t="shared" si="99"/>
        <v>-1069.27897517322</v>
      </c>
      <c r="H245" s="70">
        <f t="shared" si="100"/>
        <v>-633.34216221798408</v>
      </c>
      <c r="I245" s="70">
        <f t="shared" si="93"/>
        <v>26008.420095137601</v>
      </c>
      <c r="J245" s="123">
        <f t="shared" si="81"/>
        <v>4.0741237836483535E-3</v>
      </c>
      <c r="K245" s="123">
        <f t="shared" si="94"/>
        <v>4.1496342698251532E-2</v>
      </c>
      <c r="L245" s="124">
        <f t="shared" si="80"/>
        <v>0.1075</v>
      </c>
      <c r="M245" s="125">
        <f>+Dashboard!$B$36</f>
        <v>1</v>
      </c>
      <c r="N245" s="160">
        <f t="shared" si="82"/>
        <v>8.5450710394860963E-3</v>
      </c>
      <c r="O245" s="70">
        <f t="shared" si="87"/>
        <v>7502951.5479762079</v>
      </c>
    </row>
    <row r="246" spans="1:15" outlineLevel="1" x14ac:dyDescent="0.25">
      <c r="A246" s="122">
        <v>239</v>
      </c>
      <c r="B246" s="70">
        <f>IF($D$1="SAC",-'Price x SAC x SACRE'!G245,IF('Base dinâmica'!$D$1="Price",-'Price x SAC x SACRE'!B245,IF('Base dinâmica'!$D$1="sacre",-'Price x SAC x SACRE'!L245,0)))</f>
        <v>-4100.9182743504398</v>
      </c>
      <c r="C246" s="70">
        <f>IF($D$1="SAC",-'Price x SAC x SACRE'!H245,IF('Base dinâmica'!$D$1="Price",-'Price x SAC x SACRE'!C245,IF('Base dinâmica'!$D$1="sacre",-'Price x SAC x SACRE'!M245,0)))</f>
        <v>-1295.680384605954</v>
      </c>
      <c r="D246" s="70">
        <f>IF($D$1="SAC",-'Price x SAC x SACRE'!I245,IF('Base dinâmica'!$D$1="Price",-'Price x SAC x SACRE'!D245,IF('Base dinâmica'!$D$1="sacre",-'Price x SAC x SACRE'!N245,0)))</f>
        <v>-2805.2378897444855</v>
      </c>
      <c r="E246" s="70">
        <f>IF($D$1="SAC",-'Price x SAC x SACRE'!J245,IF('Base dinâmica'!$D$1="Price",-'Price x SAC x SACRE'!E245,IF('Base dinâmica'!$D$1="sacre",-'Price x SAC x SACRE'!O245,0)))</f>
        <v>-294341.27882444783</v>
      </c>
      <c r="F246" s="70">
        <f t="shared" si="98"/>
        <v>27711.041232528805</v>
      </c>
      <c r="G246" s="70">
        <f t="shared" si="99"/>
        <v>-1069.27897517322</v>
      </c>
      <c r="H246" s="70">
        <v>0</v>
      </c>
      <c r="I246" s="70">
        <f t="shared" si="93"/>
        <v>26641.762257355585</v>
      </c>
      <c r="J246" s="123">
        <f t="shared" si="81"/>
        <v>4.0741237836483535E-3</v>
      </c>
      <c r="K246" s="123">
        <f t="shared" si="94"/>
        <v>4.573952771862122E-2</v>
      </c>
      <c r="L246" s="124">
        <f t="shared" si="80"/>
        <v>0.1075</v>
      </c>
      <c r="M246" s="125">
        <f>+Dashboard!$B$36</f>
        <v>1</v>
      </c>
      <c r="N246" s="160">
        <f t="shared" si="82"/>
        <v>8.5450710394860963E-3</v>
      </c>
      <c r="O246" s="70">
        <f t="shared" si="87"/>
        <v>7589605.6459424915</v>
      </c>
    </row>
    <row r="247" spans="1:15" s="53" customFormat="1" x14ac:dyDescent="0.25">
      <c r="A247" s="68">
        <v>240</v>
      </c>
      <c r="B247" s="64">
        <f>IF($D$1="SAC",-'Price x SAC x SACRE'!G246,IF('Base dinâmica'!$D$1="Price",-'Price x SAC x SACRE'!B246,IF('Base dinâmica'!$D$1="sacre",-'Price x SAC x SACRE'!L246,0)))</f>
        <v>-4100.9182743504389</v>
      </c>
      <c r="C247" s="64">
        <f>IF($D$1="SAC",-'Price x SAC x SACRE'!H246,IF('Base dinâmica'!$D$1="Price",-'Price x SAC x SACRE'!C246,IF('Base dinâmica'!$D$1="sacre",-'Price x SAC x SACRE'!M246,0)))</f>
        <v>-1307.9748274848807</v>
      </c>
      <c r="D247" s="64">
        <f>IF($D$1="SAC",-'Price x SAC x SACRE'!I246,IF('Base dinâmica'!$D$1="Price",-'Price x SAC x SACRE'!D246,IF('Base dinâmica'!$D$1="sacre",-'Price x SAC x SACRE'!N246,0)))</f>
        <v>-2792.9434468655586</v>
      </c>
      <c r="E247" s="64">
        <f>IF($D$1="SAC",-'Price x SAC x SACRE'!J246,IF('Base dinâmica'!$D$1="Price",-'Price x SAC x SACRE'!E246,IF('Base dinâmica'!$D$1="sacre",-'Price x SAC x SACRE'!O246,0)))</f>
        <v>-293033.30399696296</v>
      </c>
      <c r="F247" s="64">
        <f>+F246</f>
        <v>27711.041232528805</v>
      </c>
      <c r="G247" s="64">
        <f>+G246</f>
        <v>-1069.27897517322</v>
      </c>
      <c r="H247" s="64">
        <v>0</v>
      </c>
      <c r="I247" s="64">
        <f t="shared" si="93"/>
        <v>26641.762257355585</v>
      </c>
      <c r="J247" s="119">
        <f t="shared" si="81"/>
        <v>4.0741237836483535E-3</v>
      </c>
      <c r="K247" s="119">
        <f t="shared" si="94"/>
        <v>5.0000000000000933E-2</v>
      </c>
      <c r="L247" s="120">
        <f t="shared" si="80"/>
        <v>0.1075</v>
      </c>
      <c r="M247" s="121">
        <f>+Dashboard!$B$36</f>
        <v>1</v>
      </c>
      <c r="N247" s="160">
        <f t="shared" si="82"/>
        <v>8.5450710394860963E-3</v>
      </c>
      <c r="O247" s="64">
        <f t="shared" si="87"/>
        <v>7677000.2093317593</v>
      </c>
    </row>
    <row r="248" spans="1:15" outlineLevel="1" x14ac:dyDescent="0.25">
      <c r="A248" s="122">
        <v>241</v>
      </c>
      <c r="B248" s="70">
        <f>IF($D$1="SAC",-'Price x SAC x SACRE'!G247,IF('Base dinâmica'!$D$1="Price",-'Price x SAC x SACRE'!B247,IF('Base dinâmica'!$D$1="sacre",-'Price x SAC x SACRE'!L247,0)))</f>
        <v>-4100.9182743504389</v>
      </c>
      <c r="C248" s="70">
        <f>IF($D$1="SAC",-'Price x SAC x SACRE'!H247,IF('Base dinâmica'!$D$1="Price",-'Price x SAC x SACRE'!C247,IF('Base dinâmica'!$D$1="sacre",-'Price x SAC x SACRE'!M247,0)))</f>
        <v>-1320.3859297865315</v>
      </c>
      <c r="D248" s="70">
        <f>IF($D$1="SAC",-'Price x SAC x SACRE'!I247,IF('Base dinâmica'!$D$1="Price",-'Price x SAC x SACRE'!D247,IF('Base dinâmica'!$D$1="sacre",-'Price x SAC x SACRE'!N247,0)))</f>
        <v>-2780.5323445639078</v>
      </c>
      <c r="E248" s="70">
        <f>IF($D$1="SAC",-'Price x SAC x SACRE'!J247,IF('Base dinâmica'!$D$1="Price",-'Price x SAC x SACRE'!E247,IF('Base dinâmica'!$D$1="sacre",-'Price x SAC x SACRE'!O247,0)))</f>
        <v>-291712.91806717642</v>
      </c>
      <c r="F248" s="70">
        <f>+F247*(1+K247)</f>
        <v>29096.593294155271</v>
      </c>
      <c r="G248" s="70">
        <f>+G247*(1+K247)</f>
        <v>-1122.7429239318819</v>
      </c>
      <c r="H248" s="70">
        <f>+H245*(1+K247)</f>
        <v>-665.00927032888387</v>
      </c>
      <c r="I248" s="70">
        <f t="shared" si="93"/>
        <v>27308.841099894507</v>
      </c>
      <c r="J248" s="123">
        <f t="shared" si="81"/>
        <v>4.0741237836483535E-3</v>
      </c>
      <c r="K248" s="123">
        <f>+J248</f>
        <v>4.0741237836483535E-3</v>
      </c>
      <c r="L248" s="124">
        <f t="shared" si="80"/>
        <v>0.1075</v>
      </c>
      <c r="M248" s="125">
        <f>+Dashboard!$B$36</f>
        <v>1</v>
      </c>
      <c r="N248" s="160">
        <f t="shared" si="82"/>
        <v>8.5450710394860963E-3</v>
      </c>
      <c r="O248" s="70">
        <f t="shared" si="87"/>
        <v>7765808.6443161927</v>
      </c>
    </row>
    <row r="249" spans="1:15" outlineLevel="1" x14ac:dyDescent="0.25">
      <c r="A249" s="122">
        <v>242</v>
      </c>
      <c r="B249" s="70">
        <f>IF($D$1="SAC",-'Price x SAC x SACRE'!G248,IF('Base dinâmica'!$D$1="Price",-'Price x SAC x SACRE'!B248,IF('Base dinâmica'!$D$1="sacre",-'Price x SAC x SACRE'!L248,0)))</f>
        <v>-4100.9182743504389</v>
      </c>
      <c r="C249" s="70">
        <f>IF($D$1="SAC",-'Price x SAC x SACRE'!H248,IF('Base dinâmica'!$D$1="Price",-'Price x SAC x SACRE'!C248,IF('Base dinâmica'!$D$1="sacre",-'Price x SAC x SACRE'!M248,0)))</f>
        <v>-1332.914798468013</v>
      </c>
      <c r="D249" s="70">
        <f>IF($D$1="SAC",-'Price x SAC x SACRE'!I248,IF('Base dinâmica'!$D$1="Price",-'Price x SAC x SACRE'!D248,IF('Base dinâmica'!$D$1="sacre",-'Price x SAC x SACRE'!N248,0)))</f>
        <v>-2768.0034758824263</v>
      </c>
      <c r="E249" s="70">
        <f>IF($D$1="SAC",-'Price x SAC x SACRE'!J248,IF('Base dinâmica'!$D$1="Price",-'Price x SAC x SACRE'!E248,IF('Base dinâmica'!$D$1="sacre",-'Price x SAC x SACRE'!O248,0)))</f>
        <v>-290380.00326870842</v>
      </c>
      <c r="F249" s="70">
        <f>+F248</f>
        <v>29096.593294155271</v>
      </c>
      <c r="G249" s="70">
        <f>+G248</f>
        <v>-1122.7429239318819</v>
      </c>
      <c r="H249" s="70">
        <f>+H248</f>
        <v>-665.00927032888387</v>
      </c>
      <c r="I249" s="70">
        <f t="shared" si="93"/>
        <v>27308.841099894507</v>
      </c>
      <c r="J249" s="123">
        <f t="shared" si="81"/>
        <v>4.0741237836483535E-3</v>
      </c>
      <c r="K249" s="123">
        <f t="shared" si="94"/>
        <v>8.1648460519012644E-3</v>
      </c>
      <c r="L249" s="124">
        <f t="shared" si="80"/>
        <v>0.1075</v>
      </c>
      <c r="M249" s="125">
        <f>+Dashboard!$B$36</f>
        <v>1</v>
      </c>
      <c r="N249" s="160">
        <f t="shared" si="82"/>
        <v>8.5450710394860963E-3</v>
      </c>
      <c r="O249" s="70">
        <f t="shared" si="87"/>
        <v>7855375.9536864739</v>
      </c>
    </row>
    <row r="250" spans="1:15" outlineLevel="1" x14ac:dyDescent="0.25">
      <c r="A250" s="122">
        <v>243</v>
      </c>
      <c r="B250" s="70">
        <f>IF($D$1="SAC",-'Price x SAC x SACRE'!G249,IF('Base dinâmica'!$D$1="Price",-'Price x SAC x SACRE'!B249,IF('Base dinâmica'!$D$1="sacre",-'Price x SAC x SACRE'!L249,0)))</f>
        <v>-4100.9182743504398</v>
      </c>
      <c r="C250" s="70">
        <f>IF($D$1="SAC",-'Price x SAC x SACRE'!H249,IF('Base dinâmica'!$D$1="Price",-'Price x SAC x SACRE'!C249,IF('Base dinâmica'!$D$1="sacre",-'Price x SAC x SACRE'!M249,0)))</f>
        <v>-1345.5625509901176</v>
      </c>
      <c r="D250" s="70">
        <f>IF($D$1="SAC",-'Price x SAC x SACRE'!I249,IF('Base dinâmica'!$D$1="Price",-'Price x SAC x SACRE'!D249,IF('Base dinâmica'!$D$1="sacre",-'Price x SAC x SACRE'!N249,0)))</f>
        <v>-2755.3557233603224</v>
      </c>
      <c r="E250" s="70">
        <f>IF($D$1="SAC",-'Price x SAC x SACRE'!J249,IF('Base dinâmica'!$D$1="Price",-'Price x SAC x SACRE'!E249,IF('Base dinâmica'!$D$1="sacre",-'Price x SAC x SACRE'!O249,0)))</f>
        <v>-289034.44071771827</v>
      </c>
      <c r="F250" s="70">
        <f t="shared" ref="F250:F258" si="101">+F249</f>
        <v>29096.593294155271</v>
      </c>
      <c r="G250" s="70">
        <f t="shared" ref="G250:G258" si="102">+G249</f>
        <v>-1122.7429239318819</v>
      </c>
      <c r="H250" s="70">
        <f t="shared" ref="H250:H257" si="103">+H249</f>
        <v>-665.00927032888387</v>
      </c>
      <c r="I250" s="70">
        <f t="shared" si="93"/>
        <v>27308.841099894507</v>
      </c>
      <c r="J250" s="123">
        <f t="shared" si="81"/>
        <v>4.0741237836483535E-3</v>
      </c>
      <c r="K250" s="123">
        <f t="shared" si="94"/>
        <v>1.2272234429039575E-2</v>
      </c>
      <c r="L250" s="124">
        <f t="shared" si="80"/>
        <v>0.1075</v>
      </c>
      <c r="M250" s="125">
        <f>+Dashboard!$B$36</f>
        <v>1</v>
      </c>
      <c r="N250" s="160">
        <f t="shared" si="82"/>
        <v>8.5450710394860963E-3</v>
      </c>
      <c r="O250" s="70">
        <f t="shared" si="87"/>
        <v>7945708.6220781393</v>
      </c>
    </row>
    <row r="251" spans="1:15" outlineLevel="1" x14ac:dyDescent="0.25">
      <c r="A251" s="122">
        <v>244</v>
      </c>
      <c r="B251" s="70">
        <f>IF($D$1="SAC",-'Price x SAC x SACRE'!G250,IF('Base dinâmica'!$D$1="Price",-'Price x SAC x SACRE'!B250,IF('Base dinâmica'!$D$1="sacre",-'Price x SAC x SACRE'!L250,0)))</f>
        <v>-4100.9182743504389</v>
      </c>
      <c r="C251" s="70">
        <f>IF($D$1="SAC",-'Price x SAC x SACRE'!H250,IF('Base dinâmica'!$D$1="Price",-'Price x SAC x SACRE'!C250,IF('Base dinâmica'!$D$1="sacre",-'Price x SAC x SACRE'!M250,0)))</f>
        <v>-1358.3303154169919</v>
      </c>
      <c r="D251" s="70">
        <f>IF($D$1="SAC",-'Price x SAC x SACRE'!I250,IF('Base dinâmica'!$D$1="Price",-'Price x SAC x SACRE'!D250,IF('Base dinâmica'!$D$1="sacre",-'Price x SAC x SACRE'!N250,0)))</f>
        <v>-2742.5879589334472</v>
      </c>
      <c r="E251" s="70">
        <f>IF($D$1="SAC",-'Price x SAC x SACRE'!J250,IF('Base dinâmica'!$D$1="Price",-'Price x SAC x SACRE'!E250,IF('Base dinâmica'!$D$1="sacre",-'Price x SAC x SACRE'!O250,0)))</f>
        <v>-287676.1104023013</v>
      </c>
      <c r="F251" s="70">
        <f t="shared" si="101"/>
        <v>29096.593294155271</v>
      </c>
      <c r="G251" s="70">
        <f t="shared" si="102"/>
        <v>-1122.7429239318819</v>
      </c>
      <c r="H251" s="70">
        <f t="shared" si="103"/>
        <v>-665.00927032888387</v>
      </c>
      <c r="I251" s="70">
        <f t="shared" si="93"/>
        <v>27308.841099894507</v>
      </c>
      <c r="J251" s="123">
        <f t="shared" si="81"/>
        <v>4.0741237836483535E-3</v>
      </c>
      <c r="K251" s="123">
        <f t="shared" si="94"/>
        <v>1.6396356814853741E-2</v>
      </c>
      <c r="L251" s="124">
        <f t="shared" si="80"/>
        <v>0.1075</v>
      </c>
      <c r="M251" s="125">
        <f>+Dashboard!$B$36</f>
        <v>1</v>
      </c>
      <c r="N251" s="160">
        <f t="shared" si="82"/>
        <v>8.5450710394860963E-3</v>
      </c>
      <c r="O251" s="70">
        <f t="shared" si="87"/>
        <v>8036813.1895383988</v>
      </c>
    </row>
    <row r="252" spans="1:15" outlineLevel="1" x14ac:dyDescent="0.25">
      <c r="A252" s="122">
        <v>245</v>
      </c>
      <c r="B252" s="70">
        <f>IF($D$1="SAC",-'Price x SAC x SACRE'!G251,IF('Base dinâmica'!$D$1="Price",-'Price x SAC x SACRE'!B251,IF('Base dinâmica'!$D$1="sacre",-'Price x SAC x SACRE'!L251,0)))</f>
        <v>-4100.9182743504398</v>
      </c>
      <c r="C252" s="70">
        <f>IF($D$1="SAC",-'Price x SAC x SACRE'!H251,IF('Base dinâmica'!$D$1="Price",-'Price x SAC x SACRE'!C251,IF('Base dinâmica'!$D$1="sacre",-'Price x SAC x SACRE'!M251,0)))</f>
        <v>-1371.2192305167509</v>
      </c>
      <c r="D252" s="70">
        <f>IF($D$1="SAC",-'Price x SAC x SACRE'!I251,IF('Base dinâmica'!$D$1="Price",-'Price x SAC x SACRE'!D251,IF('Base dinâmica'!$D$1="sacre",-'Price x SAC x SACRE'!N251,0)))</f>
        <v>-2729.6990438336888</v>
      </c>
      <c r="E252" s="70">
        <f>IF($D$1="SAC",-'Price x SAC x SACRE'!J251,IF('Base dinâmica'!$D$1="Price",-'Price x SAC x SACRE'!E251,IF('Base dinâmica'!$D$1="sacre",-'Price x SAC x SACRE'!O251,0)))</f>
        <v>-286304.89117178455</v>
      </c>
      <c r="F252" s="70">
        <f t="shared" si="101"/>
        <v>29096.593294155271</v>
      </c>
      <c r="G252" s="70">
        <f t="shared" si="102"/>
        <v>-1122.7429239318819</v>
      </c>
      <c r="H252" s="70">
        <f t="shared" si="103"/>
        <v>-665.00927032888387</v>
      </c>
      <c r="I252" s="70">
        <f t="shared" si="93"/>
        <v>27308.841099894507</v>
      </c>
      <c r="J252" s="123">
        <f t="shared" si="81"/>
        <v>4.0741237836483535E-3</v>
      </c>
      <c r="K252" s="123">
        <f t="shared" si="94"/>
        <v>2.0537281385766715E-2</v>
      </c>
      <c r="L252" s="124">
        <f t="shared" si="80"/>
        <v>0.1075</v>
      </c>
      <c r="M252" s="125">
        <f>+Dashboard!$B$36</f>
        <v>1</v>
      </c>
      <c r="N252" s="160">
        <f t="shared" si="82"/>
        <v>8.5450710394860963E-3</v>
      </c>
      <c r="O252" s="70">
        <f t="shared" si="87"/>
        <v>8128696.2519996278</v>
      </c>
    </row>
    <row r="253" spans="1:15" outlineLevel="1" x14ac:dyDescent="0.25">
      <c r="A253" s="122">
        <v>246</v>
      </c>
      <c r="B253" s="70">
        <f>IF($D$1="SAC",-'Price x SAC x SACRE'!G252,IF('Base dinâmica'!$D$1="Price",-'Price x SAC x SACRE'!B252,IF('Base dinâmica'!$D$1="sacre",-'Price x SAC x SACRE'!L252,0)))</f>
        <v>-4100.9182743504398</v>
      </c>
      <c r="C253" s="70">
        <f>IF($D$1="SAC",-'Price x SAC x SACRE'!H252,IF('Base dinâmica'!$D$1="Price",-'Price x SAC x SACRE'!C252,IF('Base dinâmica'!$D$1="sacre",-'Price x SAC x SACRE'!M252,0)))</f>
        <v>-1384.2304458630426</v>
      </c>
      <c r="D253" s="70">
        <f>IF($D$1="SAC",-'Price x SAC x SACRE'!I252,IF('Base dinâmica'!$D$1="Price",-'Price x SAC x SACRE'!D252,IF('Base dinâmica'!$D$1="sacre",-'Price x SAC x SACRE'!N252,0)))</f>
        <v>-2716.6878284873969</v>
      </c>
      <c r="E253" s="70">
        <f>IF($D$1="SAC",-'Price x SAC x SACRE'!J252,IF('Base dinâmica'!$D$1="Price",-'Price x SAC x SACRE'!E252,IF('Base dinâmica'!$D$1="sacre",-'Price x SAC x SACRE'!O252,0)))</f>
        <v>-284920.66072592151</v>
      </c>
      <c r="F253" s="70">
        <f t="shared" si="101"/>
        <v>29096.593294155271</v>
      </c>
      <c r="G253" s="70">
        <f t="shared" si="102"/>
        <v>-1122.7429239318819</v>
      </c>
      <c r="H253" s="70">
        <f t="shared" si="103"/>
        <v>-665.00927032888387</v>
      </c>
      <c r="I253" s="70">
        <f t="shared" si="93"/>
        <v>27308.841099894507</v>
      </c>
      <c r="J253" s="123">
        <f t="shared" si="81"/>
        <v>4.0741237836483535E-3</v>
      </c>
      <c r="K253" s="123">
        <f t="shared" si="94"/>
        <v>2.4695076595960375E-2</v>
      </c>
      <c r="L253" s="124">
        <f t="shared" si="80"/>
        <v>0.1075</v>
      </c>
      <c r="M253" s="125">
        <f>+Dashboard!$B$36</f>
        <v>1</v>
      </c>
      <c r="N253" s="160">
        <f t="shared" si="82"/>
        <v>8.5450710394860963E-3</v>
      </c>
      <c r="O253" s="70">
        <f t="shared" si="87"/>
        <v>8221364.461756913</v>
      </c>
    </row>
    <row r="254" spans="1:15" outlineLevel="1" x14ac:dyDescent="0.25">
      <c r="A254" s="122">
        <v>247</v>
      </c>
      <c r="B254" s="70">
        <f>IF($D$1="SAC",-'Price x SAC x SACRE'!G253,IF('Base dinâmica'!$D$1="Price",-'Price x SAC x SACRE'!B253,IF('Base dinâmica'!$D$1="sacre",-'Price x SAC x SACRE'!L253,0)))</f>
        <v>-4100.9182743504389</v>
      </c>
      <c r="C254" s="70">
        <f>IF($D$1="SAC",-'Price x SAC x SACRE'!H253,IF('Base dinâmica'!$D$1="Price",-'Price x SAC x SACRE'!C253,IF('Base dinâmica'!$D$1="sacre",-'Price x SAC x SACRE'!M253,0)))</f>
        <v>-1397.3651219375824</v>
      </c>
      <c r="D254" s="70">
        <f>IF($D$1="SAC",-'Price x SAC x SACRE'!I253,IF('Base dinâmica'!$D$1="Price",-'Price x SAC x SACRE'!D253,IF('Base dinâmica'!$D$1="sacre",-'Price x SAC x SACRE'!N253,0)))</f>
        <v>-2703.5531524128569</v>
      </c>
      <c r="E254" s="70">
        <f>IF($D$1="SAC",-'Price x SAC x SACRE'!J253,IF('Base dinâmica'!$D$1="Price",-'Price x SAC x SACRE'!E253,IF('Base dinâmica'!$D$1="sacre",-'Price x SAC x SACRE'!O253,0)))</f>
        <v>-283523.29560398392</v>
      </c>
      <c r="F254" s="70">
        <f t="shared" si="101"/>
        <v>29096.593294155271</v>
      </c>
      <c r="G254" s="70">
        <f t="shared" si="102"/>
        <v>-1122.7429239318819</v>
      </c>
      <c r="H254" s="70">
        <f t="shared" si="103"/>
        <v>-665.00927032888387</v>
      </c>
      <c r="I254" s="70">
        <f t="shared" si="93"/>
        <v>27308.841099894507</v>
      </c>
      <c r="J254" s="123">
        <f t="shared" si="81"/>
        <v>4.0741237836483535E-3</v>
      </c>
      <c r="K254" s="123">
        <f t="shared" si="94"/>
        <v>2.8869811178507288E-2</v>
      </c>
      <c r="L254" s="124">
        <f t="shared" si="80"/>
        <v>0.1075</v>
      </c>
      <c r="M254" s="125">
        <f>+Dashboard!$B$36</f>
        <v>1</v>
      </c>
      <c r="N254" s="160">
        <f t="shared" si="82"/>
        <v>8.5450710394860963E-3</v>
      </c>
      <c r="O254" s="70">
        <f t="shared" si="87"/>
        <v>8314824.5279496759</v>
      </c>
    </row>
    <row r="255" spans="1:15" outlineLevel="1" x14ac:dyDescent="0.25">
      <c r="A255" s="122">
        <v>248</v>
      </c>
      <c r="B255" s="70">
        <f>IF($D$1="SAC",-'Price x SAC x SACRE'!G254,IF('Base dinâmica'!$D$1="Price",-'Price x SAC x SACRE'!B254,IF('Base dinâmica'!$D$1="sacre",-'Price x SAC x SACRE'!L254,0)))</f>
        <v>-4100.9182743504398</v>
      </c>
      <c r="C255" s="70">
        <f>IF($D$1="SAC",-'Price x SAC x SACRE'!H254,IF('Base dinâmica'!$D$1="Price",-'Price x SAC x SACRE'!C254,IF('Base dinâmica'!$D$1="sacre",-'Price x SAC x SACRE'!M254,0)))</f>
        <v>-1410.6244302336565</v>
      </c>
      <c r="D255" s="70">
        <f>IF($D$1="SAC",-'Price x SAC x SACRE'!I254,IF('Base dinâmica'!$D$1="Price",-'Price x SAC x SACRE'!D254,IF('Base dinâmica'!$D$1="sacre",-'Price x SAC x SACRE'!N254,0)))</f>
        <v>-2690.293844116783</v>
      </c>
      <c r="E255" s="70">
        <f>IF($D$1="SAC",-'Price x SAC x SACRE'!J254,IF('Base dinâmica'!$D$1="Price",-'Price x SAC x SACRE'!E254,IF('Base dinâmica'!$D$1="sacre",-'Price x SAC x SACRE'!O254,0)))</f>
        <v>-282112.67117375025</v>
      </c>
      <c r="F255" s="70">
        <f t="shared" si="101"/>
        <v>29096.593294155271</v>
      </c>
      <c r="G255" s="70">
        <f t="shared" si="102"/>
        <v>-1122.7429239318819</v>
      </c>
      <c r="H255" s="70">
        <f t="shared" si="103"/>
        <v>-665.00927032888387</v>
      </c>
      <c r="I255" s="70">
        <f t="shared" si="93"/>
        <v>27308.841099894507</v>
      </c>
      <c r="J255" s="123">
        <f t="shared" si="81"/>
        <v>4.0741237836483535E-3</v>
      </c>
      <c r="K255" s="123">
        <f t="shared" si="94"/>
        <v>3.3061554146507355E-2</v>
      </c>
      <c r="L255" s="124">
        <f t="shared" si="80"/>
        <v>0.1075</v>
      </c>
      <c r="M255" s="125">
        <f>+Dashboard!$B$36</f>
        <v>1</v>
      </c>
      <c r="N255" s="160">
        <f t="shared" si="82"/>
        <v>8.5450710394860963E-3</v>
      </c>
      <c r="O255" s="70">
        <f t="shared" si="87"/>
        <v>8409083.2170474119</v>
      </c>
    </row>
    <row r="256" spans="1:15" outlineLevel="1" x14ac:dyDescent="0.25">
      <c r="A256" s="122">
        <v>249</v>
      </c>
      <c r="B256" s="70">
        <f>IF($D$1="SAC",-'Price x SAC x SACRE'!G255,IF('Base dinâmica'!$D$1="Price",-'Price x SAC x SACRE'!B255,IF('Base dinâmica'!$D$1="sacre",-'Price x SAC x SACRE'!L255,0)))</f>
        <v>-4100.9182743504398</v>
      </c>
      <c r="C256" s="70">
        <f>IF($D$1="SAC",-'Price x SAC x SACRE'!H255,IF('Base dinâmica'!$D$1="Price",-'Price x SAC x SACRE'!C255,IF('Base dinâmica'!$D$1="sacre",-'Price x SAC x SACRE'!M255,0)))</f>
        <v>-1424.0095533606082</v>
      </c>
      <c r="D256" s="70">
        <f>IF($D$1="SAC",-'Price x SAC x SACRE'!I255,IF('Base dinâmica'!$D$1="Price",-'Price x SAC x SACRE'!D255,IF('Base dinâmica'!$D$1="sacre",-'Price x SAC x SACRE'!N255,0)))</f>
        <v>-2676.9087209898316</v>
      </c>
      <c r="E256" s="70">
        <f>IF($D$1="SAC",-'Price x SAC x SACRE'!J255,IF('Base dinâmica'!$D$1="Price",-'Price x SAC x SACRE'!E255,IF('Base dinâmica'!$D$1="sacre",-'Price x SAC x SACRE'!O255,0)))</f>
        <v>-280688.66162038961</v>
      </c>
      <c r="F256" s="70">
        <f t="shared" si="101"/>
        <v>29096.593294155271</v>
      </c>
      <c r="G256" s="70">
        <f t="shared" si="102"/>
        <v>-1122.7429239318819</v>
      </c>
      <c r="H256" s="70">
        <f t="shared" si="103"/>
        <v>-665.00927032888387</v>
      </c>
      <c r="I256" s="70">
        <f t="shared" si="93"/>
        <v>27308.841099894507</v>
      </c>
      <c r="J256" s="123">
        <f t="shared" si="81"/>
        <v>4.0741237836483535E-3</v>
      </c>
      <c r="K256" s="123">
        <f t="shared" si="94"/>
        <v>3.7270374794228456E-2</v>
      </c>
      <c r="L256" s="124">
        <f t="shared" si="80"/>
        <v>0.1075</v>
      </c>
      <c r="M256" s="125">
        <f>+Dashboard!$B$36</f>
        <v>1</v>
      </c>
      <c r="N256" s="160">
        <f t="shared" si="82"/>
        <v>8.5450710394860963E-3</v>
      </c>
      <c r="O256" s="70">
        <f t="shared" si="87"/>
        <v>8504147.3533395752</v>
      </c>
    </row>
    <row r="257" spans="1:15" outlineLevel="1" x14ac:dyDescent="0.25">
      <c r="A257" s="122">
        <v>250</v>
      </c>
      <c r="B257" s="70">
        <f>IF($D$1="SAC",-'Price x SAC x SACRE'!G256,IF('Base dinâmica'!$D$1="Price",-'Price x SAC x SACRE'!B256,IF('Base dinâmica'!$D$1="sacre",-'Price x SAC x SACRE'!L256,0)))</f>
        <v>-4100.9182743504389</v>
      </c>
      <c r="C257" s="70">
        <f>IF($D$1="SAC",-'Price x SAC x SACRE'!H256,IF('Base dinâmica'!$D$1="Price",-'Price x SAC x SACRE'!C256,IF('Base dinâmica'!$D$1="sacre",-'Price x SAC x SACRE'!M256,0)))</f>
        <v>-1437.5216851493149</v>
      </c>
      <c r="D257" s="70">
        <f>IF($D$1="SAC",-'Price x SAC x SACRE'!I256,IF('Base dinâmica'!$D$1="Price",-'Price x SAC x SACRE'!D256,IF('Base dinâmica'!$D$1="sacre",-'Price x SAC x SACRE'!N256,0)))</f>
        <v>-2663.3965892011242</v>
      </c>
      <c r="E257" s="70">
        <f>IF($D$1="SAC",-'Price x SAC x SACRE'!J256,IF('Base dinâmica'!$D$1="Price",-'Price x SAC x SACRE'!E256,IF('Base dinâmica'!$D$1="sacre",-'Price x SAC x SACRE'!O256,0)))</f>
        <v>-279251.13993524032</v>
      </c>
      <c r="F257" s="70">
        <f t="shared" si="101"/>
        <v>29096.593294155271</v>
      </c>
      <c r="G257" s="70">
        <f t="shared" si="102"/>
        <v>-1122.7429239318819</v>
      </c>
      <c r="H257" s="70">
        <f t="shared" si="103"/>
        <v>-665.00927032888387</v>
      </c>
      <c r="I257" s="70">
        <f t="shared" si="93"/>
        <v>27308.841099894507</v>
      </c>
      <c r="J257" s="123">
        <f t="shared" si="81"/>
        <v>4.0741237836483535E-3</v>
      </c>
      <c r="K257" s="123">
        <f t="shared" si="94"/>
        <v>4.1496342698251532E-2</v>
      </c>
      <c r="L257" s="124">
        <f t="shared" si="80"/>
        <v>0.1075</v>
      </c>
      <c r="M257" s="125">
        <f>+Dashboard!$B$36</f>
        <v>1</v>
      </c>
      <c r="N257" s="160">
        <f t="shared" si="82"/>
        <v>8.5450710394860963E-3</v>
      </c>
      <c r="O257" s="70">
        <f t="shared" si="87"/>
        <v>8600023.8194296621</v>
      </c>
    </row>
    <row r="258" spans="1:15" outlineLevel="1" x14ac:dyDescent="0.25">
      <c r="A258" s="122">
        <v>251</v>
      </c>
      <c r="B258" s="70">
        <f>IF($D$1="SAC",-'Price x SAC x SACRE'!G257,IF('Base dinâmica'!$D$1="Price",-'Price x SAC x SACRE'!B257,IF('Base dinâmica'!$D$1="sacre",-'Price x SAC x SACRE'!L257,0)))</f>
        <v>-4100.9182743504389</v>
      </c>
      <c r="C258" s="70">
        <f>IF($D$1="SAC",-'Price x SAC x SACRE'!H257,IF('Base dinâmica'!$D$1="Price",-'Price x SAC x SACRE'!C257,IF('Base dinâmica'!$D$1="sacre",-'Price x SAC x SACRE'!M257,0)))</f>
        <v>-1451.1620307586695</v>
      </c>
      <c r="D258" s="70">
        <f>IF($D$1="SAC",-'Price x SAC x SACRE'!I257,IF('Base dinâmica'!$D$1="Price",-'Price x SAC x SACRE'!D257,IF('Base dinâmica'!$D$1="sacre",-'Price x SAC x SACRE'!N257,0)))</f>
        <v>-2649.7562435917698</v>
      </c>
      <c r="E258" s="70">
        <f>IF($D$1="SAC",-'Price x SAC x SACRE'!J257,IF('Base dinâmica'!$D$1="Price",-'Price x SAC x SACRE'!E257,IF('Base dinâmica'!$D$1="sacre",-'Price x SAC x SACRE'!O257,0)))</f>
        <v>-277799.97790448164</v>
      </c>
      <c r="F258" s="70">
        <f t="shared" si="101"/>
        <v>29096.593294155271</v>
      </c>
      <c r="G258" s="70">
        <f t="shared" si="102"/>
        <v>-1122.7429239318819</v>
      </c>
      <c r="H258" s="70">
        <v>0</v>
      </c>
      <c r="I258" s="70">
        <f t="shared" si="93"/>
        <v>27973.85037022339</v>
      </c>
      <c r="J258" s="123">
        <f t="shared" si="81"/>
        <v>4.0741237836483535E-3</v>
      </c>
      <c r="K258" s="123">
        <f t="shared" si="94"/>
        <v>4.573952771862122E-2</v>
      </c>
      <c r="L258" s="124">
        <f t="shared" si="80"/>
        <v>0.1075</v>
      </c>
      <c r="M258" s="125">
        <f>+Dashboard!$B$36</f>
        <v>1</v>
      </c>
      <c r="N258" s="160">
        <f t="shared" si="82"/>
        <v>8.5450710394860963E-3</v>
      </c>
      <c r="O258" s="70">
        <f t="shared" si="87"/>
        <v>8697384.566003833</v>
      </c>
    </row>
    <row r="259" spans="1:15" s="53" customFormat="1" x14ac:dyDescent="0.25">
      <c r="A259" s="68">
        <v>252</v>
      </c>
      <c r="B259" s="64">
        <f>IF($D$1="SAC",-'Price x SAC x SACRE'!G258,IF('Base dinâmica'!$D$1="Price",-'Price x SAC x SACRE'!B258,IF('Base dinâmica'!$D$1="sacre",-'Price x SAC x SACRE'!L258,0)))</f>
        <v>-4100.9182743504398</v>
      </c>
      <c r="C259" s="64">
        <f>IF($D$1="SAC",-'Price x SAC x SACRE'!H258,IF('Base dinâmica'!$D$1="Price",-'Price x SAC x SACRE'!C258,IF('Base dinâmica'!$D$1="sacre",-'Price x SAC x SACRE'!M258,0)))</f>
        <v>-1464.9318067830679</v>
      </c>
      <c r="D259" s="64">
        <f>IF($D$1="SAC",-'Price x SAC x SACRE'!I258,IF('Base dinâmica'!$D$1="Price",-'Price x SAC x SACRE'!D258,IF('Base dinâmica'!$D$1="sacre",-'Price x SAC x SACRE'!N258,0)))</f>
        <v>-2635.9864675673716</v>
      </c>
      <c r="E259" s="64">
        <f>IF($D$1="SAC",-'Price x SAC x SACRE'!J258,IF('Base dinâmica'!$D$1="Price",-'Price x SAC x SACRE'!E258,IF('Base dinâmica'!$D$1="sacre",-'Price x SAC x SACRE'!O258,0)))</f>
        <v>-276335.04609769856</v>
      </c>
      <c r="F259" s="64">
        <f>+F258</f>
        <v>29096.593294155271</v>
      </c>
      <c r="G259" s="64">
        <f>+G258</f>
        <v>-1122.7429239318819</v>
      </c>
      <c r="H259" s="64">
        <v>0</v>
      </c>
      <c r="I259" s="64">
        <f t="shared" si="93"/>
        <v>27973.85037022339</v>
      </c>
      <c r="J259" s="119">
        <f t="shared" si="81"/>
        <v>4.0741237836483535E-3</v>
      </c>
      <c r="K259" s="119">
        <f t="shared" si="94"/>
        <v>5.0000000000000933E-2</v>
      </c>
      <c r="L259" s="120">
        <f t="shared" si="80"/>
        <v>0.1075</v>
      </c>
      <c r="M259" s="121">
        <f>+Dashboard!$B$36</f>
        <v>1</v>
      </c>
      <c r="N259" s="160">
        <f t="shared" si="82"/>
        <v>8.5450710394860963E-3</v>
      </c>
      <c r="O259" s="64">
        <f t="shared" si="87"/>
        <v>8795577.2670739386</v>
      </c>
    </row>
    <row r="260" spans="1:15" outlineLevel="1" x14ac:dyDescent="0.25">
      <c r="A260" s="122">
        <v>253</v>
      </c>
      <c r="B260" s="70">
        <f>IF($D$1="SAC",-'Price x SAC x SACRE'!G259,IF('Base dinâmica'!$D$1="Price",-'Price x SAC x SACRE'!B259,IF('Base dinâmica'!$D$1="sacre",-'Price x SAC x SACRE'!L259,0)))</f>
        <v>-4100.9182743504389</v>
      </c>
      <c r="C260" s="70">
        <f>IF($D$1="SAC",-'Price x SAC x SACRE'!H259,IF('Base dinâmica'!$D$1="Price",-'Price x SAC x SACRE'!C259,IF('Base dinâmica'!$D$1="sacre",-'Price x SAC x SACRE'!M259,0)))</f>
        <v>-1478.8322413609169</v>
      </c>
      <c r="D260" s="70">
        <f>IF($D$1="SAC",-'Price x SAC x SACRE'!I259,IF('Base dinâmica'!$D$1="Price",-'Price x SAC x SACRE'!D259,IF('Base dinâmica'!$D$1="sacre",-'Price x SAC x SACRE'!N259,0)))</f>
        <v>-2622.0860329895222</v>
      </c>
      <c r="E260" s="70">
        <f>IF($D$1="SAC",-'Price x SAC x SACRE'!J259,IF('Base dinâmica'!$D$1="Price",-'Price x SAC x SACRE'!E259,IF('Base dinâmica'!$D$1="sacre",-'Price x SAC x SACRE'!O259,0)))</f>
        <v>-274856.21385633765</v>
      </c>
      <c r="F260" s="70">
        <f>+F259*(1+K259)</f>
        <v>30551.422958863062</v>
      </c>
      <c r="G260" s="70">
        <f>+G259*(1+K259)</f>
        <v>-1178.880070128477</v>
      </c>
      <c r="H260" s="70">
        <f>+H257*(1+K259)</f>
        <v>-698.2597338453287</v>
      </c>
      <c r="I260" s="70">
        <f t="shared" si="93"/>
        <v>28674.283154889257</v>
      </c>
      <c r="J260" s="123">
        <f t="shared" si="81"/>
        <v>4.0741237836483535E-3</v>
      </c>
      <c r="K260" s="123">
        <f>+J260</f>
        <v>4.0741237836483535E-3</v>
      </c>
      <c r="L260" s="124">
        <f t="shared" si="80"/>
        <v>0.1075</v>
      </c>
      <c r="M260" s="125">
        <f>+Dashboard!$B$36</f>
        <v>1</v>
      </c>
      <c r="N260" s="160">
        <f t="shared" si="82"/>
        <v>8.5450710394860963E-3</v>
      </c>
      <c r="O260" s="70">
        <f t="shared" si="87"/>
        <v>8895309.4645349141</v>
      </c>
    </row>
    <row r="261" spans="1:15" outlineLevel="1" x14ac:dyDescent="0.25">
      <c r="A261" s="122">
        <v>254</v>
      </c>
      <c r="B261" s="70">
        <f>IF($D$1="SAC",-'Price x SAC x SACRE'!G260,IF('Base dinâmica'!$D$1="Price",-'Price x SAC x SACRE'!B260,IF('Base dinâmica'!$D$1="sacre",-'Price x SAC x SACRE'!L260,0)))</f>
        <v>-4100.9182743504389</v>
      </c>
      <c r="C261" s="70">
        <f>IF($D$1="SAC",-'Price x SAC x SACRE'!H260,IF('Base dinâmica'!$D$1="Price",-'Price x SAC x SACRE'!C260,IF('Base dinâmica'!$D$1="sacre",-'Price x SAC x SACRE'!M260,0)))</f>
        <v>-1492.8645742841759</v>
      </c>
      <c r="D261" s="70">
        <f>IF($D$1="SAC",-'Price x SAC x SACRE'!I260,IF('Base dinâmica'!$D$1="Price",-'Price x SAC x SACRE'!D260,IF('Base dinâmica'!$D$1="sacre",-'Price x SAC x SACRE'!N260,0)))</f>
        <v>-2608.0537000662634</v>
      </c>
      <c r="E261" s="70">
        <f>IF($D$1="SAC",-'Price x SAC x SACRE'!J260,IF('Base dinâmica'!$D$1="Price",-'Price x SAC x SACRE'!E260,IF('Base dinâmica'!$D$1="sacre",-'Price x SAC x SACRE'!O260,0)))</f>
        <v>-273363.34928205347</v>
      </c>
      <c r="F261" s="70">
        <f>+F260</f>
        <v>30551.422958863062</v>
      </c>
      <c r="G261" s="70">
        <f>+G260</f>
        <v>-1178.880070128477</v>
      </c>
      <c r="H261" s="70">
        <f>+H260</f>
        <v>-698.2597338453287</v>
      </c>
      <c r="I261" s="70">
        <f t="shared" si="93"/>
        <v>28674.283154889257</v>
      </c>
      <c r="J261" s="123">
        <f t="shared" si="81"/>
        <v>4.0741237836483535E-3</v>
      </c>
      <c r="K261" s="123">
        <f t="shared" si="94"/>
        <v>8.1648460519012644E-3</v>
      </c>
      <c r="L261" s="124">
        <f t="shared" si="80"/>
        <v>0.1075</v>
      </c>
      <c r="M261" s="125">
        <f>+Dashboard!$B$36</f>
        <v>1</v>
      </c>
      <c r="N261" s="160">
        <f t="shared" si="82"/>
        <v>8.5450710394860963E-3</v>
      </c>
      <c r="O261" s="70">
        <f t="shared" si="87"/>
        <v>8995893.880708117</v>
      </c>
    </row>
    <row r="262" spans="1:15" outlineLevel="1" x14ac:dyDescent="0.25">
      <c r="A262" s="122">
        <v>255</v>
      </c>
      <c r="B262" s="70">
        <f>IF($D$1="SAC",-'Price x SAC x SACRE'!G261,IF('Base dinâmica'!$D$1="Price",-'Price x SAC x SACRE'!B261,IF('Base dinâmica'!$D$1="sacre",-'Price x SAC x SACRE'!L261,0)))</f>
        <v>-4100.9182743504398</v>
      </c>
      <c r="C262" s="70">
        <f>IF($D$1="SAC",-'Price x SAC x SACRE'!H261,IF('Base dinâmica'!$D$1="Price",-'Price x SAC x SACRE'!C261,IF('Base dinâmica'!$D$1="sacre",-'Price x SAC x SACRE'!M261,0)))</f>
        <v>-1507.0300571089333</v>
      </c>
      <c r="D262" s="70">
        <f>IF($D$1="SAC",-'Price x SAC x SACRE'!I261,IF('Base dinâmica'!$D$1="Price",-'Price x SAC x SACRE'!D261,IF('Base dinâmica'!$D$1="sacre",-'Price x SAC x SACRE'!N261,0)))</f>
        <v>-2593.8882172415065</v>
      </c>
      <c r="E262" s="70">
        <f>IF($D$1="SAC",-'Price x SAC x SACRE'!J261,IF('Base dinâmica'!$D$1="Price",-'Price x SAC x SACRE'!E261,IF('Base dinâmica'!$D$1="sacre",-'Price x SAC x SACRE'!O261,0)))</f>
        <v>-271856.31922494451</v>
      </c>
      <c r="F262" s="70">
        <f t="shared" ref="F262:F270" si="104">+F261</f>
        <v>30551.422958863062</v>
      </c>
      <c r="G262" s="70">
        <f t="shared" ref="G262:G270" si="105">+G261</f>
        <v>-1178.880070128477</v>
      </c>
      <c r="H262" s="70">
        <f t="shared" ref="H262:H269" si="106">+H261</f>
        <v>-698.2597338453287</v>
      </c>
      <c r="I262" s="70">
        <f t="shared" si="93"/>
        <v>28674.283154889257</v>
      </c>
      <c r="J262" s="123">
        <f t="shared" si="81"/>
        <v>4.0741237836483535E-3</v>
      </c>
      <c r="K262" s="123">
        <f t="shared" si="94"/>
        <v>1.2272234429039575E-2</v>
      </c>
      <c r="L262" s="124">
        <f t="shared" si="80"/>
        <v>0.1075</v>
      </c>
      <c r="M262" s="125">
        <f>+Dashboard!$B$36</f>
        <v>1</v>
      </c>
      <c r="N262" s="160">
        <f t="shared" si="82"/>
        <v>8.5450710394860963E-3</v>
      </c>
      <c r="O262" s="70">
        <f t="shared" si="87"/>
        <v>9097337.7978629861</v>
      </c>
    </row>
    <row r="263" spans="1:15" outlineLevel="1" x14ac:dyDescent="0.25">
      <c r="A263" s="122">
        <v>256</v>
      </c>
      <c r="B263" s="70">
        <f>IF($D$1="SAC",-'Price x SAC x SACRE'!G262,IF('Base dinâmica'!$D$1="Price",-'Price x SAC x SACRE'!B262,IF('Base dinâmica'!$D$1="sacre",-'Price x SAC x SACRE'!L262,0)))</f>
        <v>-4100.9182743504389</v>
      </c>
      <c r="C263" s="70">
        <f>IF($D$1="SAC",-'Price x SAC x SACRE'!H262,IF('Base dinâmica'!$D$1="Price",-'Price x SAC x SACRE'!C262,IF('Base dinâmica'!$D$1="sacre",-'Price x SAC x SACRE'!M262,0)))</f>
        <v>-1521.3299532670324</v>
      </c>
      <c r="D263" s="70">
        <f>IF($D$1="SAC",-'Price x SAC x SACRE'!I262,IF('Base dinâmica'!$D$1="Price",-'Price x SAC x SACRE'!D262,IF('Base dinâmica'!$D$1="sacre",-'Price x SAC x SACRE'!N262,0)))</f>
        <v>-2579.5883210834063</v>
      </c>
      <c r="E263" s="70">
        <f>IF($D$1="SAC",-'Price x SAC x SACRE'!J262,IF('Base dinâmica'!$D$1="Price",-'Price x SAC x SACRE'!E262,IF('Base dinâmica'!$D$1="sacre",-'Price x SAC x SACRE'!O262,0)))</f>
        <v>-270334.98927167751</v>
      </c>
      <c r="F263" s="70">
        <f t="shared" si="104"/>
        <v>30551.422958863062</v>
      </c>
      <c r="G263" s="70">
        <f t="shared" si="105"/>
        <v>-1178.880070128477</v>
      </c>
      <c r="H263" s="70">
        <f t="shared" si="106"/>
        <v>-698.2597338453287</v>
      </c>
      <c r="I263" s="70">
        <f t="shared" si="93"/>
        <v>28674.283154889257</v>
      </c>
      <c r="J263" s="123">
        <f t="shared" si="81"/>
        <v>4.0741237836483535E-3</v>
      </c>
      <c r="K263" s="123">
        <f t="shared" si="94"/>
        <v>1.6396356814853741E-2</v>
      </c>
      <c r="L263" s="124">
        <f t="shared" si="80"/>
        <v>0.1075</v>
      </c>
      <c r="M263" s="125">
        <f>+Dashboard!$B$36</f>
        <v>1</v>
      </c>
      <c r="N263" s="160">
        <f t="shared" si="82"/>
        <v>8.5450710394860963E-3</v>
      </c>
      <c r="O263" s="70">
        <f t="shared" si="87"/>
        <v>9199648.5604964662</v>
      </c>
    </row>
    <row r="264" spans="1:15" outlineLevel="1" x14ac:dyDescent="0.25">
      <c r="A264" s="122">
        <v>257</v>
      </c>
      <c r="B264" s="70">
        <f>IF($D$1="SAC",-'Price x SAC x SACRE'!G263,IF('Base dinâmica'!$D$1="Price",-'Price x SAC x SACRE'!B263,IF('Base dinâmica'!$D$1="sacre",-'Price x SAC x SACRE'!L263,0)))</f>
        <v>-4100.9182743504389</v>
      </c>
      <c r="C264" s="70">
        <f>IF($D$1="SAC",-'Price x SAC x SACRE'!H263,IF('Base dinâmica'!$D$1="Price",-'Price x SAC x SACRE'!C263,IF('Base dinâmica'!$D$1="sacre",-'Price x SAC x SACRE'!M263,0)))</f>
        <v>-1535.7655381787622</v>
      </c>
      <c r="D264" s="70">
        <f>IF($D$1="SAC",-'Price x SAC x SACRE'!I263,IF('Base dinâmica'!$D$1="Price",-'Price x SAC x SACRE'!D263,IF('Base dinâmica'!$D$1="sacre",-'Price x SAC x SACRE'!N263,0)))</f>
        <v>-2565.1527361716771</v>
      </c>
      <c r="E264" s="70">
        <f>IF($D$1="SAC",-'Price x SAC x SACRE'!J263,IF('Base dinâmica'!$D$1="Price",-'Price x SAC x SACRE'!E263,IF('Base dinâmica'!$D$1="sacre",-'Price x SAC x SACRE'!O263,0)))</f>
        <v>-268799.22373349877</v>
      </c>
      <c r="F264" s="70">
        <f t="shared" si="104"/>
        <v>30551.422958863062</v>
      </c>
      <c r="G264" s="70">
        <f t="shared" si="105"/>
        <v>-1178.880070128477</v>
      </c>
      <c r="H264" s="70">
        <f t="shared" si="106"/>
        <v>-698.2597338453287</v>
      </c>
      <c r="I264" s="70">
        <f t="shared" si="93"/>
        <v>28674.283154889257</v>
      </c>
      <c r="J264" s="123">
        <f t="shared" si="81"/>
        <v>4.0741237836483535E-3</v>
      </c>
      <c r="K264" s="123">
        <f t="shared" si="94"/>
        <v>2.0537281385766715E-2</v>
      </c>
      <c r="L264" s="124">
        <f t="shared" ref="L264:L327" si="107">+$N$2</f>
        <v>0.1075</v>
      </c>
      <c r="M264" s="125">
        <f>+Dashboard!$B$36</f>
        <v>1</v>
      </c>
      <c r="N264" s="160">
        <f t="shared" si="82"/>
        <v>8.5450710394860963E-3</v>
      </c>
      <c r="O264" s="70">
        <f t="shared" si="87"/>
        <v>9302833.5758647546</v>
      </c>
    </row>
    <row r="265" spans="1:15" outlineLevel="1" x14ac:dyDescent="0.25">
      <c r="A265" s="122">
        <v>258</v>
      </c>
      <c r="B265" s="70">
        <f>IF($D$1="SAC",-'Price x SAC x SACRE'!G264,IF('Base dinâmica'!$D$1="Price",-'Price x SAC x SACRE'!B264,IF('Base dinâmica'!$D$1="sacre",-'Price x SAC x SACRE'!L264,0)))</f>
        <v>-4100.9182743504398</v>
      </c>
      <c r="C265" s="70">
        <f>IF($D$1="SAC",-'Price x SAC x SACRE'!H264,IF('Base dinâmica'!$D$1="Price",-'Price x SAC x SACRE'!C264,IF('Base dinâmica'!$D$1="sacre",-'Price x SAC x SACRE'!M264,0)))</f>
        <v>-1550.338099366609</v>
      </c>
      <c r="D265" s="70">
        <f>IF($D$1="SAC",-'Price x SAC x SACRE'!I264,IF('Base dinâmica'!$D$1="Price",-'Price x SAC x SACRE'!D264,IF('Base dinâmica'!$D$1="sacre",-'Price x SAC x SACRE'!N264,0)))</f>
        <v>-2550.5801749838306</v>
      </c>
      <c r="E265" s="70">
        <f>IF($D$1="SAC",-'Price x SAC x SACRE'!J264,IF('Base dinâmica'!$D$1="Price",-'Price x SAC x SACRE'!E264,IF('Base dinâmica'!$D$1="sacre",-'Price x SAC x SACRE'!O264,0)))</f>
        <v>-267248.88563413214</v>
      </c>
      <c r="F265" s="70">
        <f t="shared" si="104"/>
        <v>30551.422958863062</v>
      </c>
      <c r="G265" s="70">
        <f t="shared" si="105"/>
        <v>-1178.880070128477</v>
      </c>
      <c r="H265" s="70">
        <f t="shared" si="106"/>
        <v>-698.2597338453287</v>
      </c>
      <c r="I265" s="70">
        <f t="shared" si="93"/>
        <v>28674.283154889257</v>
      </c>
      <c r="J265" s="123">
        <f t="shared" ref="J265:J328" si="108">+$L$3</f>
        <v>4.0741237836483535E-3</v>
      </c>
      <c r="K265" s="123">
        <f t="shared" si="94"/>
        <v>2.4695076595960375E-2</v>
      </c>
      <c r="L265" s="124">
        <f t="shared" si="107"/>
        <v>0.1075</v>
      </c>
      <c r="M265" s="125">
        <f>+Dashboard!$B$36</f>
        <v>1</v>
      </c>
      <c r="N265" s="160">
        <f t="shared" ref="N265:N328" si="109">((((1+L265)^(1/12))-1)*M265)</f>
        <v>8.5450710394860963E-3</v>
      </c>
      <c r="O265" s="70">
        <f t="shared" si="87"/>
        <v>9406900.3145195749</v>
      </c>
    </row>
    <row r="266" spans="1:15" outlineLevel="1" x14ac:dyDescent="0.25">
      <c r="A266" s="122">
        <v>259</v>
      </c>
      <c r="B266" s="70">
        <f>IF($D$1="SAC",-'Price x SAC x SACRE'!G265,IF('Base dinâmica'!$D$1="Price",-'Price x SAC x SACRE'!B265,IF('Base dinâmica'!$D$1="sacre",-'Price x SAC x SACRE'!L265,0)))</f>
        <v>-4100.9182743504389</v>
      </c>
      <c r="C266" s="70">
        <f>IF($D$1="SAC",-'Price x SAC x SACRE'!H265,IF('Base dinâmica'!$D$1="Price",-'Price x SAC x SACRE'!C265,IF('Base dinâmica'!$D$1="sacre",-'Price x SAC x SACRE'!M265,0)))</f>
        <v>-1565.0489365700935</v>
      </c>
      <c r="D266" s="70">
        <f>IF($D$1="SAC",-'Price x SAC x SACRE'!I265,IF('Base dinâmica'!$D$1="Price",-'Price x SAC x SACRE'!D265,IF('Base dinâmica'!$D$1="sacre",-'Price x SAC x SACRE'!N265,0)))</f>
        <v>-2535.8693377803456</v>
      </c>
      <c r="E266" s="70">
        <f>IF($D$1="SAC",-'Price x SAC x SACRE'!J265,IF('Base dinâmica'!$D$1="Price",-'Price x SAC x SACRE'!E265,IF('Base dinâmica'!$D$1="sacre",-'Price x SAC x SACRE'!O265,0)))</f>
        <v>-265683.83669756202</v>
      </c>
      <c r="F266" s="70">
        <f t="shared" si="104"/>
        <v>30551.422958863062</v>
      </c>
      <c r="G266" s="70">
        <f t="shared" si="105"/>
        <v>-1178.880070128477</v>
      </c>
      <c r="H266" s="70">
        <f t="shared" si="106"/>
        <v>-698.2597338453287</v>
      </c>
      <c r="I266" s="70">
        <f t="shared" si="93"/>
        <v>28674.283154889257</v>
      </c>
      <c r="J266" s="123">
        <f t="shared" si="108"/>
        <v>4.0741237836483535E-3</v>
      </c>
      <c r="K266" s="123">
        <f t="shared" si="94"/>
        <v>2.8869811178507288E-2</v>
      </c>
      <c r="L266" s="124">
        <f t="shared" si="107"/>
        <v>0.1075</v>
      </c>
      <c r="M266" s="125">
        <f>+Dashboard!$B$36</f>
        <v>1</v>
      </c>
      <c r="N266" s="160">
        <f t="shared" si="109"/>
        <v>8.5450710394860963E-3</v>
      </c>
      <c r="O266" s="70">
        <f t="shared" ref="O266:O329" si="110">IF(O265&lt;=0,+I266+B266+O265,(+O265)*(((((1+L266)^(1/12))-1)*(M266))+1)+I266+B266)</f>
        <v>9511856.3108490482</v>
      </c>
    </row>
    <row r="267" spans="1:15" outlineLevel="1" x14ac:dyDescent="0.25">
      <c r="A267" s="122">
        <v>260</v>
      </c>
      <c r="B267" s="70">
        <f>IF($D$1="SAC",-'Price x SAC x SACRE'!G266,IF('Base dinâmica'!$D$1="Price",-'Price x SAC x SACRE'!B266,IF('Base dinâmica'!$D$1="sacre",-'Price x SAC x SACRE'!L266,0)))</f>
        <v>-4100.9182743504389</v>
      </c>
      <c r="C267" s="70">
        <f>IF($D$1="SAC",-'Price x SAC x SACRE'!H266,IF('Base dinâmica'!$D$1="Price",-'Price x SAC x SACRE'!C266,IF('Base dinâmica'!$D$1="sacre",-'Price x SAC x SACRE'!M266,0)))</f>
        <v>-1579.8993618616969</v>
      </c>
      <c r="D267" s="70">
        <f>IF($D$1="SAC",-'Price x SAC x SACRE'!I266,IF('Base dinâmica'!$D$1="Price",-'Price x SAC x SACRE'!D266,IF('Base dinâmica'!$D$1="sacre",-'Price x SAC x SACRE'!N266,0)))</f>
        <v>-2521.018912488742</v>
      </c>
      <c r="E267" s="70">
        <f>IF($D$1="SAC",-'Price x SAC x SACRE'!J266,IF('Base dinâmica'!$D$1="Price",-'Price x SAC x SACRE'!E266,IF('Base dinâmica'!$D$1="sacre",-'Price x SAC x SACRE'!O266,0)))</f>
        <v>-264103.93733570032</v>
      </c>
      <c r="F267" s="70">
        <f t="shared" si="104"/>
        <v>30551.422958863062</v>
      </c>
      <c r="G267" s="70">
        <f t="shared" si="105"/>
        <v>-1178.880070128477</v>
      </c>
      <c r="H267" s="70">
        <f t="shared" si="106"/>
        <v>-698.2597338453287</v>
      </c>
      <c r="I267" s="70">
        <f t="shared" si="93"/>
        <v>28674.283154889257</v>
      </c>
      <c r="J267" s="123">
        <f t="shared" si="108"/>
        <v>4.0741237836483535E-3</v>
      </c>
      <c r="K267" s="123">
        <f t="shared" si="94"/>
        <v>3.3061554146507355E-2</v>
      </c>
      <c r="L267" s="124">
        <f t="shared" si="107"/>
        <v>0.1075</v>
      </c>
      <c r="M267" s="125">
        <f>+Dashboard!$B$36</f>
        <v>1</v>
      </c>
      <c r="N267" s="160">
        <f t="shared" si="109"/>
        <v>8.5450710394860963E-3</v>
      </c>
      <c r="O267" s="70">
        <f t="shared" si="110"/>
        <v>9617709.1636231765</v>
      </c>
    </row>
    <row r="268" spans="1:15" outlineLevel="1" x14ac:dyDescent="0.25">
      <c r="A268" s="122">
        <v>261</v>
      </c>
      <c r="B268" s="70">
        <f>IF($D$1="SAC",-'Price x SAC x SACRE'!G267,IF('Base dinâmica'!$D$1="Price",-'Price x SAC x SACRE'!B267,IF('Base dinâmica'!$D$1="sacre",-'Price x SAC x SACRE'!L267,0)))</f>
        <v>-4100.9182743504389</v>
      </c>
      <c r="C268" s="70">
        <f>IF($D$1="SAC",-'Price x SAC x SACRE'!H267,IF('Base dinâmica'!$D$1="Price",-'Price x SAC x SACRE'!C267,IF('Base dinâmica'!$D$1="sacre",-'Price x SAC x SACRE'!M267,0)))</f>
        <v>-1594.8906997638826</v>
      </c>
      <c r="D268" s="70">
        <f>IF($D$1="SAC",-'Price x SAC x SACRE'!I267,IF('Base dinâmica'!$D$1="Price",-'Price x SAC x SACRE'!D267,IF('Base dinâmica'!$D$1="sacre",-'Price x SAC x SACRE'!N267,0)))</f>
        <v>-2506.0275745865565</v>
      </c>
      <c r="E268" s="70">
        <f>IF($D$1="SAC",-'Price x SAC x SACRE'!J267,IF('Base dinâmica'!$D$1="Price",-'Price x SAC x SACRE'!E267,IF('Base dinâmica'!$D$1="sacre",-'Price x SAC x SACRE'!O267,0)))</f>
        <v>-262509.04663593642</v>
      </c>
      <c r="F268" s="70">
        <f t="shared" si="104"/>
        <v>30551.422958863062</v>
      </c>
      <c r="G268" s="70">
        <f t="shared" si="105"/>
        <v>-1178.880070128477</v>
      </c>
      <c r="H268" s="70">
        <f t="shared" si="106"/>
        <v>-698.2597338453287</v>
      </c>
      <c r="I268" s="70">
        <f t="shared" si="93"/>
        <v>28674.283154889257</v>
      </c>
      <c r="J268" s="123">
        <f t="shared" si="108"/>
        <v>4.0741237836483535E-3</v>
      </c>
      <c r="K268" s="123">
        <f t="shared" si="94"/>
        <v>3.7270374794228456E-2</v>
      </c>
      <c r="L268" s="124">
        <f t="shared" si="107"/>
        <v>0.1075</v>
      </c>
      <c r="M268" s="125">
        <f>+Dashboard!$B$36</f>
        <v>1</v>
      </c>
      <c r="N268" s="160">
        <f t="shared" si="109"/>
        <v>8.5450710394860963E-3</v>
      </c>
      <c r="O268" s="70">
        <f t="shared" si="110"/>
        <v>9724466.5365439933</v>
      </c>
    </row>
    <row r="269" spans="1:15" outlineLevel="1" x14ac:dyDescent="0.25">
      <c r="A269" s="122">
        <v>262</v>
      </c>
      <c r="B269" s="70">
        <f>IF($D$1="SAC",-'Price x SAC x SACRE'!G268,IF('Base dinâmica'!$D$1="Price",-'Price x SAC x SACRE'!B268,IF('Base dinâmica'!$D$1="sacre",-'Price x SAC x SACRE'!L268,0)))</f>
        <v>-4100.9182743504389</v>
      </c>
      <c r="C269" s="70">
        <f>IF($D$1="SAC",-'Price x SAC x SACRE'!H268,IF('Base dinâmica'!$D$1="Price",-'Price x SAC x SACRE'!C268,IF('Base dinâmica'!$D$1="sacre",-'Price x SAC x SACRE'!M268,0)))</f>
        <v>-1610.0242873672339</v>
      </c>
      <c r="D269" s="70">
        <f>IF($D$1="SAC",-'Price x SAC x SACRE'!I268,IF('Base dinâmica'!$D$1="Price",-'Price x SAC x SACRE'!D268,IF('Base dinâmica'!$D$1="sacre",-'Price x SAC x SACRE'!N268,0)))</f>
        <v>-2490.8939869832047</v>
      </c>
      <c r="E269" s="70">
        <f>IF($D$1="SAC",-'Price x SAC x SACRE'!J268,IF('Base dinâmica'!$D$1="Price",-'Price x SAC x SACRE'!E268,IF('Base dinâmica'!$D$1="sacre",-'Price x SAC x SACRE'!O268,0)))</f>
        <v>-260899.02234856918</v>
      </c>
      <c r="F269" s="70">
        <f t="shared" si="104"/>
        <v>30551.422958863062</v>
      </c>
      <c r="G269" s="70">
        <f t="shared" si="105"/>
        <v>-1178.880070128477</v>
      </c>
      <c r="H269" s="70">
        <f t="shared" si="106"/>
        <v>-698.2597338453287</v>
      </c>
      <c r="I269" s="70">
        <f t="shared" si="93"/>
        <v>28674.283154889257</v>
      </c>
      <c r="J269" s="123">
        <f t="shared" si="108"/>
        <v>4.0741237836483535E-3</v>
      </c>
      <c r="K269" s="123">
        <f t="shared" si="94"/>
        <v>4.1496342698251532E-2</v>
      </c>
      <c r="L269" s="124">
        <f t="shared" si="107"/>
        <v>0.1075</v>
      </c>
      <c r="M269" s="125">
        <f>+Dashboard!$B$36</f>
        <v>1</v>
      </c>
      <c r="N269" s="160">
        <f t="shared" si="109"/>
        <v>8.5450710394860963E-3</v>
      </c>
      <c r="O269" s="70">
        <f t="shared" si="110"/>
        <v>9832136.1588004064</v>
      </c>
    </row>
    <row r="270" spans="1:15" outlineLevel="1" x14ac:dyDescent="0.25">
      <c r="A270" s="122">
        <v>263</v>
      </c>
      <c r="B270" s="70">
        <f>IF($D$1="SAC",-'Price x SAC x SACRE'!G269,IF('Base dinâmica'!$D$1="Price",-'Price x SAC x SACRE'!B269,IF('Base dinâmica'!$D$1="sacre",-'Price x SAC x SACRE'!L269,0)))</f>
        <v>-4100.9182743504389</v>
      </c>
      <c r="C270" s="70">
        <f>IF($D$1="SAC",-'Price x SAC x SACRE'!H269,IF('Base dinâmica'!$D$1="Price",-'Price x SAC x SACRE'!C269,IF('Base dinâmica'!$D$1="sacre",-'Price x SAC x SACRE'!M269,0)))</f>
        <v>-1625.3014744497116</v>
      </c>
      <c r="D270" s="70">
        <f>IF($D$1="SAC",-'Price x SAC x SACRE'!I269,IF('Base dinâmica'!$D$1="Price",-'Price x SAC x SACRE'!D269,IF('Base dinâmica'!$D$1="sacre",-'Price x SAC x SACRE'!N269,0)))</f>
        <v>-2475.6167999007275</v>
      </c>
      <c r="E270" s="70">
        <f>IF($D$1="SAC",-'Price x SAC x SACRE'!J269,IF('Base dinâmica'!$D$1="Price",-'Price x SAC x SACRE'!E269,IF('Base dinâmica'!$D$1="sacre",-'Price x SAC x SACRE'!O269,0)))</f>
        <v>-259273.72087411946</v>
      </c>
      <c r="F270" s="70">
        <f t="shared" si="104"/>
        <v>30551.422958863062</v>
      </c>
      <c r="G270" s="70">
        <f t="shared" si="105"/>
        <v>-1178.880070128477</v>
      </c>
      <c r="H270" s="70">
        <v>0</v>
      </c>
      <c r="I270" s="70">
        <f t="shared" si="93"/>
        <v>29372.542888734584</v>
      </c>
      <c r="J270" s="123">
        <f t="shared" si="108"/>
        <v>4.0741237836483535E-3</v>
      </c>
      <c r="K270" s="123">
        <f t="shared" si="94"/>
        <v>4.573952771862122E-2</v>
      </c>
      <c r="L270" s="124">
        <f t="shared" si="107"/>
        <v>0.1075</v>
      </c>
      <c r="M270" s="125">
        <f>+Dashboard!$B$36</f>
        <v>1</v>
      </c>
      <c r="N270" s="160">
        <f t="shared" si="109"/>
        <v>8.5450710394860963E-3</v>
      </c>
      <c r="O270" s="70">
        <f t="shared" si="110"/>
        <v>9941424.085361639</v>
      </c>
    </row>
    <row r="271" spans="1:15" s="53" customFormat="1" x14ac:dyDescent="0.25">
      <c r="A271" s="68">
        <v>264</v>
      </c>
      <c r="B271" s="64">
        <f>IF($D$1="SAC",-'Price x SAC x SACRE'!G270,IF('Base dinâmica'!$D$1="Price",-'Price x SAC x SACRE'!B270,IF('Base dinâmica'!$D$1="sacre",-'Price x SAC x SACRE'!L270,0)))</f>
        <v>-4100.9182743504389</v>
      </c>
      <c r="C271" s="64">
        <f>IF($D$1="SAC",-'Price x SAC x SACRE'!H270,IF('Base dinâmica'!$D$1="Price",-'Price x SAC x SACRE'!C270,IF('Base dinâmica'!$D$1="sacre",-'Price x SAC x SACRE'!M270,0)))</f>
        <v>-1640.7236235970372</v>
      </c>
      <c r="D271" s="64">
        <f>IF($D$1="SAC",-'Price x SAC x SACRE'!I270,IF('Base dinâmica'!$D$1="Price",-'Price x SAC x SACRE'!D270,IF('Base dinâmica'!$D$1="sacre",-'Price x SAC x SACRE'!N270,0)))</f>
        <v>-2460.1946507534017</v>
      </c>
      <c r="E271" s="64">
        <f>IF($D$1="SAC",-'Price x SAC x SACRE'!J270,IF('Base dinâmica'!$D$1="Price",-'Price x SAC x SACRE'!E270,IF('Base dinâmica'!$D$1="sacre",-'Price x SAC x SACRE'!O270,0)))</f>
        <v>-257632.99725052243</v>
      </c>
      <c r="F271" s="64">
        <f>+F270</f>
        <v>30551.422958863062</v>
      </c>
      <c r="G271" s="64">
        <f>+G270</f>
        <v>-1178.880070128477</v>
      </c>
      <c r="H271" s="64">
        <v>0</v>
      </c>
      <c r="I271" s="64">
        <f t="shared" si="93"/>
        <v>29372.542888734584</v>
      </c>
      <c r="J271" s="119">
        <f t="shared" si="108"/>
        <v>4.0741237836483535E-3</v>
      </c>
      <c r="K271" s="119">
        <f t="shared" si="94"/>
        <v>5.0000000000000933E-2</v>
      </c>
      <c r="L271" s="120">
        <f t="shared" si="107"/>
        <v>0.1075</v>
      </c>
      <c r="M271" s="121">
        <f>+Dashboard!$B$36</f>
        <v>1</v>
      </c>
      <c r="N271" s="160">
        <f t="shared" si="109"/>
        <v>8.5450710394860963E-3</v>
      </c>
      <c r="O271" s="64">
        <f t="shared" si="110"/>
        <v>10051645.885019096</v>
      </c>
    </row>
    <row r="272" spans="1:15" outlineLevel="1" x14ac:dyDescent="0.25">
      <c r="A272" s="122">
        <v>265</v>
      </c>
      <c r="B272" s="70">
        <f>IF($D$1="SAC",-'Price x SAC x SACRE'!G271,IF('Base dinâmica'!$D$1="Price",-'Price x SAC x SACRE'!B271,IF('Base dinâmica'!$D$1="sacre",-'Price x SAC x SACRE'!L271,0)))</f>
        <v>-4100.9182743504389</v>
      </c>
      <c r="C272" s="70">
        <f>IF($D$1="SAC",-'Price x SAC x SACRE'!H271,IF('Base dinâmica'!$D$1="Price",-'Price x SAC x SACRE'!C271,IF('Base dinâmica'!$D$1="sacre",-'Price x SAC x SACRE'!M271,0)))</f>
        <v>-1656.2921103242281</v>
      </c>
      <c r="D272" s="70">
        <f>IF($D$1="SAC",-'Price x SAC x SACRE'!I271,IF('Base dinâmica'!$D$1="Price",-'Price x SAC x SACRE'!D271,IF('Base dinâmica'!$D$1="sacre",-'Price x SAC x SACRE'!N271,0)))</f>
        <v>-2444.6261640262105</v>
      </c>
      <c r="E272" s="70">
        <f>IF($D$1="SAC",-'Price x SAC x SACRE'!J271,IF('Base dinâmica'!$D$1="Price",-'Price x SAC x SACRE'!E271,IF('Base dinâmica'!$D$1="sacre",-'Price x SAC x SACRE'!O271,0)))</f>
        <v>-255976.7051401982</v>
      </c>
      <c r="F272" s="70">
        <f>+F271*(1+K271)</f>
        <v>32078.994106806244</v>
      </c>
      <c r="G272" s="70">
        <f>+G271*(1+K271)</f>
        <v>-1237.8240736349019</v>
      </c>
      <c r="H272" s="70">
        <f>+H269*(1+K271)</f>
        <v>-733.17272053759575</v>
      </c>
      <c r="I272" s="70">
        <f t="shared" si="93"/>
        <v>30107.997312633743</v>
      </c>
      <c r="J272" s="123">
        <f t="shared" si="108"/>
        <v>4.0741237836483535E-3</v>
      </c>
      <c r="K272" s="123">
        <f>+J272</f>
        <v>4.0741237836483535E-3</v>
      </c>
      <c r="L272" s="124">
        <f t="shared" si="107"/>
        <v>0.1075</v>
      </c>
      <c r="M272" s="125">
        <f>+Dashboard!$B$36</f>
        <v>1</v>
      </c>
      <c r="N272" s="160">
        <f t="shared" si="109"/>
        <v>8.5450710394860963E-3</v>
      </c>
      <c r="O272" s="70">
        <f t="shared" si="110"/>
        <v>10163544.992208624</v>
      </c>
    </row>
    <row r="273" spans="1:15" outlineLevel="1" x14ac:dyDescent="0.25">
      <c r="A273" s="122">
        <v>266</v>
      </c>
      <c r="B273" s="70">
        <f>IF($D$1="SAC",-'Price x SAC x SACRE'!G272,IF('Base dinâmica'!$D$1="Price",-'Price x SAC x SACRE'!B272,IF('Base dinâmica'!$D$1="sacre",-'Price x SAC x SACRE'!L272,0)))</f>
        <v>-4100.9182743504389</v>
      </c>
      <c r="C273" s="70">
        <f>IF($D$1="SAC",-'Price x SAC x SACRE'!H272,IF('Base dinâmica'!$D$1="Price",-'Price x SAC x SACRE'!C272,IF('Base dinâmica'!$D$1="sacre",-'Price x SAC x SACRE'!M272,0)))</f>
        <v>-1672.0083231982787</v>
      </c>
      <c r="D273" s="70">
        <f>IF($D$1="SAC",-'Price x SAC x SACRE'!I272,IF('Base dinâmica'!$D$1="Price",-'Price x SAC x SACRE'!D272,IF('Base dinâmica'!$D$1="sacre",-'Price x SAC x SACRE'!N272,0)))</f>
        <v>-2428.9099511521604</v>
      </c>
      <c r="E273" s="70">
        <f>IF($D$1="SAC",-'Price x SAC x SACRE'!J272,IF('Base dinâmica'!$D$1="Price",-'Price x SAC x SACRE'!E272,IF('Base dinâmica'!$D$1="sacre",-'Price x SAC x SACRE'!O272,0)))</f>
        <v>-254304.69681699993</v>
      </c>
      <c r="F273" s="70">
        <f>+F272</f>
        <v>32078.994106806244</v>
      </c>
      <c r="G273" s="70">
        <f>+G272</f>
        <v>-1237.8240736349019</v>
      </c>
      <c r="H273" s="70">
        <f>+H272</f>
        <v>-733.17272053759575</v>
      </c>
      <c r="I273" s="70">
        <f t="shared" si="93"/>
        <v>30107.997312633743</v>
      </c>
      <c r="J273" s="123">
        <f t="shared" si="108"/>
        <v>4.0741237836483535E-3</v>
      </c>
      <c r="K273" s="123">
        <f t="shared" si="94"/>
        <v>8.1648460519012644E-3</v>
      </c>
      <c r="L273" s="124">
        <f t="shared" si="107"/>
        <v>0.1075</v>
      </c>
      <c r="M273" s="125">
        <f>+Dashboard!$B$36</f>
        <v>1</v>
      </c>
      <c r="N273" s="160">
        <f t="shared" si="109"/>
        <v>8.5450710394860963E-3</v>
      </c>
      <c r="O273" s="70">
        <f t="shared" si="110"/>
        <v>10276400.285218343</v>
      </c>
    </row>
    <row r="274" spans="1:15" outlineLevel="1" x14ac:dyDescent="0.25">
      <c r="A274" s="122">
        <v>267</v>
      </c>
      <c r="B274" s="70">
        <f>IF($D$1="SAC",-'Price x SAC x SACRE'!G273,IF('Base dinâmica'!$D$1="Price",-'Price x SAC x SACRE'!B273,IF('Base dinâmica'!$D$1="sacre",-'Price x SAC x SACRE'!L273,0)))</f>
        <v>-4100.9182743504389</v>
      </c>
      <c r="C274" s="70">
        <f>IF($D$1="SAC",-'Price x SAC x SACRE'!H273,IF('Base dinâmica'!$D$1="Price",-'Price x SAC x SACRE'!C273,IF('Base dinâmica'!$D$1="sacre",-'Price x SAC x SACRE'!M273,0)))</f>
        <v>-1687.8736639620065</v>
      </c>
      <c r="D274" s="70">
        <f>IF($D$1="SAC",-'Price x SAC x SACRE'!I273,IF('Base dinâmica'!$D$1="Price",-'Price x SAC x SACRE'!D273,IF('Base dinâmica'!$D$1="sacre",-'Price x SAC x SACRE'!N273,0)))</f>
        <v>-2413.0446103884324</v>
      </c>
      <c r="E274" s="70">
        <f>IF($D$1="SAC",-'Price x SAC x SACRE'!J273,IF('Base dinâmica'!$D$1="Price",-'Price x SAC x SACRE'!E273,IF('Base dinâmica'!$D$1="sacre",-'Price x SAC x SACRE'!O273,0)))</f>
        <v>-252616.82315303793</v>
      </c>
      <c r="F274" s="70">
        <f t="shared" ref="F274:F282" si="111">+F273</f>
        <v>32078.994106806244</v>
      </c>
      <c r="G274" s="70">
        <f t="shared" ref="G274:G282" si="112">+G273</f>
        <v>-1237.8240736349019</v>
      </c>
      <c r="H274" s="70">
        <f t="shared" ref="H274:H281" si="113">+H273</f>
        <v>-733.17272053759575</v>
      </c>
      <c r="I274" s="70">
        <f t="shared" si="93"/>
        <v>30107.997312633743</v>
      </c>
      <c r="J274" s="123">
        <f t="shared" si="108"/>
        <v>4.0741237836483535E-3</v>
      </c>
      <c r="K274" s="123">
        <f t="shared" si="94"/>
        <v>1.2272234429039575E-2</v>
      </c>
      <c r="L274" s="124">
        <f t="shared" si="107"/>
        <v>0.1075</v>
      </c>
      <c r="M274" s="125">
        <f>+Dashboard!$B$36</f>
        <v>1</v>
      </c>
      <c r="N274" s="160">
        <f t="shared" si="109"/>
        <v>8.5450710394860963E-3</v>
      </c>
      <c r="O274" s="70">
        <f t="shared" si="110"/>
        <v>10390219.934724012</v>
      </c>
    </row>
    <row r="275" spans="1:15" outlineLevel="1" x14ac:dyDescent="0.25">
      <c r="A275" s="122">
        <v>268</v>
      </c>
      <c r="B275" s="70">
        <f>IF($D$1="SAC",-'Price x SAC x SACRE'!G274,IF('Base dinâmica'!$D$1="Price",-'Price x SAC x SACRE'!B274,IF('Base dinâmica'!$D$1="sacre",-'Price x SAC x SACRE'!L274,0)))</f>
        <v>-4100.9182743504389</v>
      </c>
      <c r="C275" s="70">
        <f>IF($D$1="SAC",-'Price x SAC x SACRE'!H274,IF('Base dinâmica'!$D$1="Price",-'Price x SAC x SACRE'!C274,IF('Base dinâmica'!$D$1="sacre",-'Price x SAC x SACRE'!M274,0)))</f>
        <v>-1703.8895476590778</v>
      </c>
      <c r="D275" s="70">
        <f>IF($D$1="SAC",-'Price x SAC x SACRE'!I274,IF('Base dinâmica'!$D$1="Price",-'Price x SAC x SACRE'!D274,IF('Base dinâmica'!$D$1="sacre",-'Price x SAC x SACRE'!N274,0)))</f>
        <v>-2397.028726691361</v>
      </c>
      <c r="E275" s="70">
        <f>IF($D$1="SAC",-'Price x SAC x SACRE'!J274,IF('Base dinâmica'!$D$1="Price",-'Price x SAC x SACRE'!E274,IF('Base dinâmica'!$D$1="sacre",-'Price x SAC x SACRE'!O274,0)))</f>
        <v>-250912.93360537884</v>
      </c>
      <c r="F275" s="70">
        <f t="shared" si="111"/>
        <v>32078.994106806244</v>
      </c>
      <c r="G275" s="70">
        <f t="shared" si="112"/>
        <v>-1237.8240736349019</v>
      </c>
      <c r="H275" s="70">
        <f t="shared" si="113"/>
        <v>-733.17272053759575</v>
      </c>
      <c r="I275" s="70">
        <f t="shared" si="93"/>
        <v>30107.997312633743</v>
      </c>
      <c r="J275" s="123">
        <f t="shared" si="108"/>
        <v>4.0741237836483535E-3</v>
      </c>
      <c r="K275" s="123">
        <f t="shared" si="94"/>
        <v>1.6396356814853741E-2</v>
      </c>
      <c r="L275" s="124">
        <f t="shared" si="107"/>
        <v>0.1075</v>
      </c>
      <c r="M275" s="125">
        <f>+Dashboard!$B$36</f>
        <v>1</v>
      </c>
      <c r="N275" s="160">
        <f t="shared" si="109"/>
        <v>8.5450710394860963E-3</v>
      </c>
      <c r="O275" s="70">
        <f t="shared" si="110"/>
        <v>10505012.181220397</v>
      </c>
    </row>
    <row r="276" spans="1:15" outlineLevel="1" x14ac:dyDescent="0.25">
      <c r="A276" s="122">
        <v>269</v>
      </c>
      <c r="B276" s="70">
        <f>IF($D$1="SAC",-'Price x SAC x SACRE'!G275,IF('Base dinâmica'!$D$1="Price",-'Price x SAC x SACRE'!B275,IF('Base dinâmica'!$D$1="sacre",-'Price x SAC x SACRE'!L275,0)))</f>
        <v>-4100.9182743504389</v>
      </c>
      <c r="C276" s="70">
        <f>IF($D$1="SAC",-'Price x SAC x SACRE'!H275,IF('Base dinâmica'!$D$1="Price",-'Price x SAC x SACRE'!C275,IF('Base dinâmica'!$D$1="sacre",-'Price x SAC x SACRE'!M275,0)))</f>
        <v>-1720.0574027602152</v>
      </c>
      <c r="D276" s="70">
        <f>IF($D$1="SAC",-'Price x SAC x SACRE'!I275,IF('Base dinâmica'!$D$1="Price",-'Price x SAC x SACRE'!D275,IF('Base dinâmica'!$D$1="sacre",-'Price x SAC x SACRE'!N275,0)))</f>
        <v>-2380.8608715902237</v>
      </c>
      <c r="E276" s="70">
        <f>IF($D$1="SAC",-'Price x SAC x SACRE'!J275,IF('Base dinâmica'!$D$1="Price",-'Price x SAC x SACRE'!E275,IF('Base dinâmica'!$D$1="sacre",-'Price x SAC x SACRE'!O275,0)))</f>
        <v>-249192.87620261862</v>
      </c>
      <c r="F276" s="70">
        <f t="shared" si="111"/>
        <v>32078.994106806244</v>
      </c>
      <c r="G276" s="70">
        <f t="shared" si="112"/>
        <v>-1237.8240736349019</v>
      </c>
      <c r="H276" s="70">
        <f t="shared" si="113"/>
        <v>-733.17272053759575</v>
      </c>
      <c r="I276" s="70">
        <f t="shared" si="93"/>
        <v>30107.997312633743</v>
      </c>
      <c r="J276" s="123">
        <f t="shared" si="108"/>
        <v>4.0741237836483535E-3</v>
      </c>
      <c r="K276" s="123">
        <f t="shared" si="94"/>
        <v>2.0537281385766715E-2</v>
      </c>
      <c r="L276" s="124">
        <f t="shared" si="107"/>
        <v>0.1075</v>
      </c>
      <c r="M276" s="125">
        <f>+Dashboard!$B$36</f>
        <v>1</v>
      </c>
      <c r="N276" s="160">
        <f t="shared" si="109"/>
        <v>8.5450710394860963E-3</v>
      </c>
      <c r="O276" s="70">
        <f t="shared" si="110"/>
        <v>10620785.335617876</v>
      </c>
    </row>
    <row r="277" spans="1:15" outlineLevel="1" x14ac:dyDescent="0.25">
      <c r="A277" s="122">
        <v>270</v>
      </c>
      <c r="B277" s="70">
        <f>IF($D$1="SAC",-'Price x SAC x SACRE'!G276,IF('Base dinâmica'!$D$1="Price",-'Price x SAC x SACRE'!B276,IF('Base dinâmica'!$D$1="sacre",-'Price x SAC x SACRE'!L276,0)))</f>
        <v>-4100.9182743504389</v>
      </c>
      <c r="C277" s="70">
        <f>IF($D$1="SAC",-'Price x SAC x SACRE'!H276,IF('Base dinâmica'!$D$1="Price",-'Price x SAC x SACRE'!C276,IF('Base dinâmica'!$D$1="sacre",-'Price x SAC x SACRE'!M276,0)))</f>
        <v>-1736.3786712906035</v>
      </c>
      <c r="D277" s="70">
        <f>IF($D$1="SAC",-'Price x SAC x SACRE'!I276,IF('Base dinâmica'!$D$1="Price",-'Price x SAC x SACRE'!D276,IF('Base dinâmica'!$D$1="sacre",-'Price x SAC x SACRE'!N276,0)))</f>
        <v>-2364.5396030598349</v>
      </c>
      <c r="E277" s="70">
        <f>IF($D$1="SAC",-'Price x SAC x SACRE'!J276,IF('Base dinâmica'!$D$1="Price",-'Price x SAC x SACRE'!E276,IF('Base dinâmica'!$D$1="sacre",-'Price x SAC x SACRE'!O276,0)))</f>
        <v>-247456.497531328</v>
      </c>
      <c r="F277" s="70">
        <f t="shared" si="111"/>
        <v>32078.994106806244</v>
      </c>
      <c r="G277" s="70">
        <f t="shared" si="112"/>
        <v>-1237.8240736349019</v>
      </c>
      <c r="H277" s="70">
        <f t="shared" si="113"/>
        <v>-733.17272053759575</v>
      </c>
      <c r="I277" s="70">
        <f t="shared" si="93"/>
        <v>30107.997312633743</v>
      </c>
      <c r="J277" s="123">
        <f t="shared" si="108"/>
        <v>4.0741237836483535E-3</v>
      </c>
      <c r="K277" s="123">
        <f t="shared" si="94"/>
        <v>2.4695076595960375E-2</v>
      </c>
      <c r="L277" s="124">
        <f t="shared" si="107"/>
        <v>0.1075</v>
      </c>
      <c r="M277" s="125">
        <f>+Dashboard!$B$36</f>
        <v>1</v>
      </c>
      <c r="N277" s="160">
        <f t="shared" si="109"/>
        <v>8.5450710394860963E-3</v>
      </c>
      <c r="O277" s="70">
        <f t="shared" si="110"/>
        <v>10737547.779844146</v>
      </c>
    </row>
    <row r="278" spans="1:15" outlineLevel="1" x14ac:dyDescent="0.25">
      <c r="A278" s="122">
        <v>271</v>
      </c>
      <c r="B278" s="70">
        <f>IF($D$1="SAC",-'Price x SAC x SACRE'!G277,IF('Base dinâmica'!$D$1="Price",-'Price x SAC x SACRE'!B277,IF('Base dinâmica'!$D$1="sacre",-'Price x SAC x SACRE'!L277,0)))</f>
        <v>-4100.9182743504389</v>
      </c>
      <c r="C278" s="70">
        <f>IF($D$1="SAC",-'Price x SAC x SACRE'!H277,IF('Base dinâmica'!$D$1="Price",-'Price x SAC x SACRE'!C277,IF('Base dinâmica'!$D$1="sacre",-'Price x SAC x SACRE'!M277,0)))</f>
        <v>-1752.8548089585067</v>
      </c>
      <c r="D278" s="70">
        <f>IF($D$1="SAC",-'Price x SAC x SACRE'!I277,IF('Base dinâmica'!$D$1="Price",-'Price x SAC x SACRE'!D277,IF('Base dinâmica'!$D$1="sacre",-'Price x SAC x SACRE'!N277,0)))</f>
        <v>-2348.0634653919319</v>
      </c>
      <c r="E278" s="70">
        <f>IF($D$1="SAC",-'Price x SAC x SACRE'!J277,IF('Base dinâmica'!$D$1="Price",-'Price x SAC x SACRE'!E277,IF('Base dinâmica'!$D$1="sacre",-'Price x SAC x SACRE'!O277,0)))</f>
        <v>-245703.64272236949</v>
      </c>
      <c r="F278" s="70">
        <f t="shared" si="111"/>
        <v>32078.994106806244</v>
      </c>
      <c r="G278" s="70">
        <f t="shared" si="112"/>
        <v>-1237.8240736349019</v>
      </c>
      <c r="H278" s="70">
        <f t="shared" si="113"/>
        <v>-733.17272053759575</v>
      </c>
      <c r="I278" s="70">
        <f t="shared" si="93"/>
        <v>30107.997312633743</v>
      </c>
      <c r="J278" s="123">
        <f t="shared" si="108"/>
        <v>4.0741237836483535E-3</v>
      </c>
      <c r="K278" s="123">
        <f t="shared" si="94"/>
        <v>2.8869811178507288E-2</v>
      </c>
      <c r="L278" s="124">
        <f t="shared" si="107"/>
        <v>0.1075</v>
      </c>
      <c r="M278" s="125">
        <f>+Dashboard!$B$36</f>
        <v>1</v>
      </c>
      <c r="N278" s="160">
        <f t="shared" si="109"/>
        <v>8.5450710394860963E-3</v>
      </c>
      <c r="O278" s="70">
        <f t="shared" si="110"/>
        <v>10855307.967451073</v>
      </c>
    </row>
    <row r="279" spans="1:15" outlineLevel="1" x14ac:dyDescent="0.25">
      <c r="A279" s="122">
        <v>272</v>
      </c>
      <c r="B279" s="70">
        <f>IF($D$1="SAC",-'Price x SAC x SACRE'!G278,IF('Base dinâmica'!$D$1="Price",-'Price x SAC x SACRE'!B278,IF('Base dinâmica'!$D$1="sacre",-'Price x SAC x SACRE'!L278,0)))</f>
        <v>-4100.9182743504389</v>
      </c>
      <c r="C279" s="70">
        <f>IF($D$1="SAC",-'Price x SAC x SACRE'!H278,IF('Base dinâmica'!$D$1="Price",-'Price x SAC x SACRE'!C278,IF('Base dinâmica'!$D$1="sacre",-'Price x SAC x SACRE'!M278,0)))</f>
        <v>-1769.4872852851017</v>
      </c>
      <c r="D279" s="70">
        <f>IF($D$1="SAC",-'Price x SAC x SACRE'!I278,IF('Base dinâmica'!$D$1="Price",-'Price x SAC x SACRE'!D278,IF('Base dinâmica'!$D$1="sacre",-'Price x SAC x SACRE'!N278,0)))</f>
        <v>-2331.4309890653367</v>
      </c>
      <c r="E279" s="70">
        <f>IF($D$1="SAC",-'Price x SAC x SACRE'!J278,IF('Base dinâmica'!$D$1="Price",-'Price x SAC x SACRE'!E278,IF('Base dinâmica'!$D$1="sacre",-'Price x SAC x SACRE'!O278,0)))</f>
        <v>-243934.15543708438</v>
      </c>
      <c r="F279" s="70">
        <f t="shared" si="111"/>
        <v>32078.994106806244</v>
      </c>
      <c r="G279" s="70">
        <f t="shared" si="112"/>
        <v>-1237.8240736349019</v>
      </c>
      <c r="H279" s="70">
        <f t="shared" si="113"/>
        <v>-733.17272053759575</v>
      </c>
      <c r="I279" s="70">
        <f t="shared" si="93"/>
        <v>30107.997312633743</v>
      </c>
      <c r="J279" s="123">
        <f t="shared" si="108"/>
        <v>4.0741237836483535E-3</v>
      </c>
      <c r="K279" s="123">
        <f t="shared" si="94"/>
        <v>3.3061554146507355E-2</v>
      </c>
      <c r="L279" s="124">
        <f t="shared" si="107"/>
        <v>0.1075</v>
      </c>
      <c r="M279" s="125">
        <f>+Dashboard!$B$36</f>
        <v>1</v>
      </c>
      <c r="N279" s="160">
        <f t="shared" si="109"/>
        <v>8.5450710394860963E-3</v>
      </c>
      <c r="O279" s="70">
        <f t="shared" si="110"/>
        <v>10974074.424226725</v>
      </c>
    </row>
    <row r="280" spans="1:15" outlineLevel="1" x14ac:dyDescent="0.25">
      <c r="A280" s="122">
        <v>273</v>
      </c>
      <c r="B280" s="70">
        <f>IF($D$1="SAC",-'Price x SAC x SACRE'!G279,IF('Base dinâmica'!$D$1="Price",-'Price x SAC x SACRE'!B279,IF('Base dinâmica'!$D$1="sacre",-'Price x SAC x SACRE'!L279,0)))</f>
        <v>-4100.9182743504389</v>
      </c>
      <c r="C280" s="70">
        <f>IF($D$1="SAC",-'Price x SAC x SACRE'!H279,IF('Base dinâmica'!$D$1="Price",-'Price x SAC x SACRE'!C279,IF('Base dinâmica'!$D$1="sacre",-'Price x SAC x SACRE'!M279,0)))</f>
        <v>-1786.27758373555</v>
      </c>
      <c r="D280" s="70">
        <f>IF($D$1="SAC",-'Price x SAC x SACRE'!I279,IF('Base dinâmica'!$D$1="Price",-'Price x SAC x SACRE'!D279,IF('Base dinâmica'!$D$1="sacre",-'Price x SAC x SACRE'!N279,0)))</f>
        <v>-2314.6406906148886</v>
      </c>
      <c r="E280" s="70">
        <f>IF($D$1="SAC",-'Price x SAC x SACRE'!J279,IF('Base dinâmica'!$D$1="Price",-'Price x SAC x SACRE'!E279,IF('Base dinâmica'!$D$1="sacre",-'Price x SAC x SACRE'!O279,0)))</f>
        <v>-242147.87785334882</v>
      </c>
      <c r="F280" s="70">
        <f t="shared" si="111"/>
        <v>32078.994106806244</v>
      </c>
      <c r="G280" s="70">
        <f t="shared" si="112"/>
        <v>-1237.8240736349019</v>
      </c>
      <c r="H280" s="70">
        <f t="shared" si="113"/>
        <v>-733.17272053759575</v>
      </c>
      <c r="I280" s="70">
        <f t="shared" si="93"/>
        <v>30107.997312633743</v>
      </c>
      <c r="J280" s="123">
        <f t="shared" si="108"/>
        <v>4.0741237836483535E-3</v>
      </c>
      <c r="K280" s="123">
        <f t="shared" si="94"/>
        <v>3.7270374794228456E-2</v>
      </c>
      <c r="L280" s="124">
        <f t="shared" si="107"/>
        <v>0.1075</v>
      </c>
      <c r="M280" s="125">
        <f>+Dashboard!$B$36</f>
        <v>1</v>
      </c>
      <c r="N280" s="160">
        <f t="shared" si="109"/>
        <v>8.5450710394860963E-3</v>
      </c>
      <c r="O280" s="70">
        <f t="shared" si="110"/>
        <v>11093855.748812633</v>
      </c>
    </row>
    <row r="281" spans="1:15" outlineLevel="1" x14ac:dyDescent="0.25">
      <c r="A281" s="122">
        <v>274</v>
      </c>
      <c r="B281" s="70">
        <f>IF($D$1="SAC",-'Price x SAC x SACRE'!G280,IF('Base dinâmica'!$D$1="Price",-'Price x SAC x SACRE'!B280,IF('Base dinâmica'!$D$1="sacre",-'Price x SAC x SACRE'!L280,0)))</f>
        <v>-4100.9182743504389</v>
      </c>
      <c r="C281" s="70">
        <f>IF($D$1="SAC",-'Price x SAC x SACRE'!H280,IF('Base dinâmica'!$D$1="Price",-'Price x SAC x SACRE'!C280,IF('Base dinâmica'!$D$1="sacre",-'Price x SAC x SACRE'!M280,0)))</f>
        <v>-1803.2272018513038</v>
      </c>
      <c r="D281" s="70">
        <f>IF($D$1="SAC",-'Price x SAC x SACRE'!I280,IF('Base dinâmica'!$D$1="Price",-'Price x SAC x SACRE'!D280,IF('Base dinâmica'!$D$1="sacre",-'Price x SAC x SACRE'!N280,0)))</f>
        <v>-2297.6910724991349</v>
      </c>
      <c r="E281" s="70">
        <f>IF($D$1="SAC",-'Price x SAC x SACRE'!J280,IF('Base dinâmica'!$D$1="Price",-'Price x SAC x SACRE'!E280,IF('Base dinâmica'!$D$1="sacre",-'Price x SAC x SACRE'!O280,0)))</f>
        <v>-240344.6506514975</v>
      </c>
      <c r="F281" s="70">
        <f t="shared" si="111"/>
        <v>32078.994106806244</v>
      </c>
      <c r="G281" s="70">
        <f t="shared" si="112"/>
        <v>-1237.8240736349019</v>
      </c>
      <c r="H281" s="70">
        <f t="shared" si="113"/>
        <v>-733.17272053759575</v>
      </c>
      <c r="I281" s="70">
        <f t="shared" si="93"/>
        <v>30107.997312633743</v>
      </c>
      <c r="J281" s="123">
        <f t="shared" si="108"/>
        <v>4.0741237836483535E-3</v>
      </c>
      <c r="K281" s="123">
        <f t="shared" si="94"/>
        <v>4.1496342698251532E-2</v>
      </c>
      <c r="L281" s="124">
        <f t="shared" si="107"/>
        <v>0.1075</v>
      </c>
      <c r="M281" s="125">
        <f>+Dashboard!$B$36</f>
        <v>1</v>
      </c>
      <c r="N281" s="160">
        <f t="shared" si="109"/>
        <v>8.5450710394860963E-3</v>
      </c>
      <c r="O281" s="70">
        <f t="shared" si="110"/>
        <v>11214660.61332633</v>
      </c>
    </row>
    <row r="282" spans="1:15" outlineLevel="1" x14ac:dyDescent="0.25">
      <c r="A282" s="122">
        <v>275</v>
      </c>
      <c r="B282" s="70">
        <f>IF($D$1="SAC",-'Price x SAC x SACRE'!G281,IF('Base dinâmica'!$D$1="Price",-'Price x SAC x SACRE'!B281,IF('Base dinâmica'!$D$1="sacre",-'Price x SAC x SACRE'!L281,0)))</f>
        <v>-4100.918274350438</v>
      </c>
      <c r="C282" s="70">
        <f>IF($D$1="SAC",-'Price x SAC x SACRE'!H281,IF('Base dinâmica'!$D$1="Price",-'Price x SAC x SACRE'!C281,IF('Base dinâmica'!$D$1="sacre",-'Price x SAC x SACRE'!M281,0)))</f>
        <v>-1820.3376513836781</v>
      </c>
      <c r="D282" s="70">
        <f>IF($D$1="SAC",-'Price x SAC x SACRE'!I281,IF('Base dinâmica'!$D$1="Price",-'Price x SAC x SACRE'!D281,IF('Base dinâmica'!$D$1="sacre",-'Price x SAC x SACRE'!N281,0)))</f>
        <v>-2280.5806229667601</v>
      </c>
      <c r="E282" s="70">
        <f>IF($D$1="SAC",-'Price x SAC x SACRE'!J281,IF('Base dinâmica'!$D$1="Price",-'Price x SAC x SACRE'!E281,IF('Base dinâmica'!$D$1="sacre",-'Price x SAC x SACRE'!O281,0)))</f>
        <v>-238524.31300011382</v>
      </c>
      <c r="F282" s="70">
        <f t="shared" si="111"/>
        <v>32078.994106806244</v>
      </c>
      <c r="G282" s="70">
        <f t="shared" si="112"/>
        <v>-1237.8240736349019</v>
      </c>
      <c r="H282" s="70">
        <v>0</v>
      </c>
      <c r="I282" s="70">
        <f t="shared" si="93"/>
        <v>30841.17003317134</v>
      </c>
      <c r="J282" s="123">
        <f t="shared" si="108"/>
        <v>4.0741237836483535E-3</v>
      </c>
      <c r="K282" s="123">
        <f t="shared" si="94"/>
        <v>4.573952771862122E-2</v>
      </c>
      <c r="L282" s="124">
        <f t="shared" si="107"/>
        <v>0.1075</v>
      </c>
      <c r="M282" s="125">
        <f>+Dashboard!$B$36</f>
        <v>1</v>
      </c>
      <c r="N282" s="160">
        <f t="shared" si="109"/>
        <v>8.5450710394860963E-3</v>
      </c>
      <c r="O282" s="70">
        <f t="shared" si="110"/>
        <v>11337230.93670975</v>
      </c>
    </row>
    <row r="283" spans="1:15" s="53" customFormat="1" x14ac:dyDescent="0.25">
      <c r="A283" s="68">
        <v>276</v>
      </c>
      <c r="B283" s="64">
        <f>IF($D$1="SAC",-'Price x SAC x SACRE'!G282,IF('Base dinâmica'!$D$1="Price",-'Price x SAC x SACRE'!B282,IF('Base dinâmica'!$D$1="sacre",-'Price x SAC x SACRE'!L282,0)))</f>
        <v>-4100.918274350438</v>
      </c>
      <c r="C283" s="64">
        <f>IF($D$1="SAC",-'Price x SAC x SACRE'!H282,IF('Base dinâmica'!$D$1="Price",-'Price x SAC x SACRE'!C282,IF('Base dinâmica'!$D$1="sacre",-'Price x SAC x SACRE'!M282,0)))</f>
        <v>-1837.6104584286834</v>
      </c>
      <c r="D283" s="64">
        <f>IF($D$1="SAC",-'Price x SAC x SACRE'!I282,IF('Base dinâmica'!$D$1="Price",-'Price x SAC x SACRE'!D282,IF('Base dinâmica'!$D$1="sacre",-'Price x SAC x SACRE'!N282,0)))</f>
        <v>-2263.3078159217548</v>
      </c>
      <c r="E283" s="64">
        <f>IF($D$1="SAC",-'Price x SAC x SACRE'!J282,IF('Base dinâmica'!$D$1="Price",-'Price x SAC x SACRE'!E282,IF('Base dinâmica'!$D$1="sacre",-'Price x SAC x SACRE'!O282,0)))</f>
        <v>-236686.70254168514</v>
      </c>
      <c r="F283" s="64">
        <f>+F282</f>
        <v>32078.994106806244</v>
      </c>
      <c r="G283" s="64">
        <f>+G282</f>
        <v>-1237.8240736349019</v>
      </c>
      <c r="H283" s="64">
        <v>0</v>
      </c>
      <c r="I283" s="64">
        <f t="shared" si="93"/>
        <v>30841.17003317134</v>
      </c>
      <c r="J283" s="119">
        <f t="shared" si="108"/>
        <v>4.0741237836483535E-3</v>
      </c>
      <c r="K283" s="119">
        <f t="shared" si="94"/>
        <v>5.0000000000000933E-2</v>
      </c>
      <c r="L283" s="120">
        <f t="shared" si="107"/>
        <v>0.1075</v>
      </c>
      <c r="M283" s="121">
        <f>+Dashboard!$B$36</f>
        <v>1</v>
      </c>
      <c r="N283" s="160">
        <f t="shared" si="109"/>
        <v>8.5450710394860963E-3</v>
      </c>
      <c r="O283" s="64">
        <f t="shared" si="110"/>
        <v>11460848.632213816</v>
      </c>
    </row>
    <row r="284" spans="1:15" outlineLevel="1" x14ac:dyDescent="0.25">
      <c r="A284" s="122">
        <v>277</v>
      </c>
      <c r="B284" s="70">
        <f>IF($D$1="SAC",-'Price x SAC x SACRE'!G283,IF('Base dinâmica'!$D$1="Price",-'Price x SAC x SACRE'!B283,IF('Base dinâmica'!$D$1="sacre",-'Price x SAC x SACRE'!L283,0)))</f>
        <v>-4100.918274350438</v>
      </c>
      <c r="C284" s="70">
        <f>IF($D$1="SAC",-'Price x SAC x SACRE'!H283,IF('Base dinâmica'!$D$1="Price",-'Price x SAC x SACRE'!C283,IF('Base dinâmica'!$D$1="sacre",-'Price x SAC x SACRE'!M283,0)))</f>
        <v>-1855.0471635631372</v>
      </c>
      <c r="D284" s="70">
        <f>IF($D$1="SAC",-'Price x SAC x SACRE'!I283,IF('Base dinâmica'!$D$1="Price",-'Price x SAC x SACRE'!D283,IF('Base dinâmica'!$D$1="sacre",-'Price x SAC x SACRE'!N283,0)))</f>
        <v>-2245.8711107873009</v>
      </c>
      <c r="E284" s="70">
        <f>IF($D$1="SAC",-'Price x SAC x SACRE'!J283,IF('Base dinâmica'!$D$1="Price",-'Price x SAC x SACRE'!E283,IF('Base dinâmica'!$D$1="sacre",-'Price x SAC x SACRE'!O283,0)))</f>
        <v>-234831.655378122</v>
      </c>
      <c r="F284" s="70">
        <f>+F283*(1+K283)</f>
        <v>33682.943812146586</v>
      </c>
      <c r="G284" s="70">
        <f>+G283*(1+K283)</f>
        <v>-1299.7152773166481</v>
      </c>
      <c r="H284" s="70">
        <f>+H281*(1+K283)</f>
        <v>-769.83135656447621</v>
      </c>
      <c r="I284" s="70">
        <f t="shared" si="93"/>
        <v>31613.397178265463</v>
      </c>
      <c r="J284" s="123">
        <f t="shared" si="108"/>
        <v>4.0741237836483535E-3</v>
      </c>
      <c r="K284" s="123">
        <f>+J284</f>
        <v>4.0741237836483535E-3</v>
      </c>
      <c r="L284" s="124">
        <f t="shared" si="107"/>
        <v>0.1075</v>
      </c>
      <c r="M284" s="125">
        <f>+Dashboard!$B$36</f>
        <v>1</v>
      </c>
      <c r="N284" s="160">
        <f t="shared" si="109"/>
        <v>8.5450710394860963E-3</v>
      </c>
      <c r="O284" s="70">
        <f t="shared" si="110"/>
        <v>11586294.876852795</v>
      </c>
    </row>
    <row r="285" spans="1:15" outlineLevel="1" x14ac:dyDescent="0.25">
      <c r="A285" s="122">
        <v>278</v>
      </c>
      <c r="B285" s="70">
        <f>IF($D$1="SAC",-'Price x SAC x SACRE'!G284,IF('Base dinâmica'!$D$1="Price",-'Price x SAC x SACRE'!B284,IF('Base dinâmica'!$D$1="sacre",-'Price x SAC x SACRE'!L284,0)))</f>
        <v>-4100.9182743504389</v>
      </c>
      <c r="C285" s="70">
        <f>IF($D$1="SAC",-'Price x SAC x SACRE'!H284,IF('Base dinâmica'!$D$1="Price",-'Price x SAC x SACRE'!C284,IF('Base dinâmica'!$D$1="sacre",-'Price x SAC x SACRE'!M284,0)))</f>
        <v>-1872.6493219820736</v>
      </c>
      <c r="D285" s="70">
        <f>IF($D$1="SAC",-'Price x SAC x SACRE'!I284,IF('Base dinâmica'!$D$1="Price",-'Price x SAC x SACRE'!D284,IF('Base dinâmica'!$D$1="sacre",-'Price x SAC x SACRE'!N284,0)))</f>
        <v>-2228.2689523683648</v>
      </c>
      <c r="E285" s="70">
        <f>IF($D$1="SAC",-'Price x SAC x SACRE'!J284,IF('Base dinâmica'!$D$1="Price",-'Price x SAC x SACRE'!E284,IF('Base dinâmica'!$D$1="sacre",-'Price x SAC x SACRE'!O284,0)))</f>
        <v>-232959.00605613992</v>
      </c>
      <c r="F285" s="70">
        <f>+F284</f>
        <v>33682.943812146586</v>
      </c>
      <c r="G285" s="70">
        <f>+G284</f>
        <v>-1299.7152773166481</v>
      </c>
      <c r="H285" s="70">
        <f>+H284</f>
        <v>-769.83135656447621</v>
      </c>
      <c r="I285" s="70">
        <f t="shared" si="93"/>
        <v>31613.397178265463</v>
      </c>
      <c r="J285" s="123">
        <f t="shared" si="108"/>
        <v>4.0741237836483535E-3</v>
      </c>
      <c r="K285" s="123">
        <f t="shared" si="94"/>
        <v>8.1648460519012644E-3</v>
      </c>
      <c r="L285" s="124">
        <f t="shared" si="107"/>
        <v>0.1075</v>
      </c>
      <c r="M285" s="125">
        <f>+Dashboard!$B$36</f>
        <v>1</v>
      </c>
      <c r="N285" s="160">
        <f t="shared" si="109"/>
        <v>8.5450710394860963E-3</v>
      </c>
      <c r="O285" s="70">
        <f t="shared" si="110"/>
        <v>11712813.068563852</v>
      </c>
    </row>
    <row r="286" spans="1:15" outlineLevel="1" x14ac:dyDescent="0.25">
      <c r="A286" s="122">
        <v>279</v>
      </c>
      <c r="B286" s="70">
        <f>IF($D$1="SAC",-'Price x SAC x SACRE'!G285,IF('Base dinâmica'!$D$1="Price",-'Price x SAC x SACRE'!B285,IF('Base dinâmica'!$D$1="sacre",-'Price x SAC x SACRE'!L285,0)))</f>
        <v>-4100.918274350438</v>
      </c>
      <c r="C286" s="70">
        <f>IF($D$1="SAC",-'Price x SAC x SACRE'!H285,IF('Base dinâmica'!$D$1="Price",-'Price x SAC x SACRE'!C285,IF('Base dinâmica'!$D$1="sacre",-'Price x SAC x SACRE'!M285,0)))</f>
        <v>-1890.4185036374488</v>
      </c>
      <c r="D286" s="70">
        <f>IF($D$1="SAC",-'Price x SAC x SACRE'!I285,IF('Base dinâmica'!$D$1="Price",-'Price x SAC x SACRE'!D285,IF('Base dinâmica'!$D$1="sacre",-'Price x SAC x SACRE'!N285,0)))</f>
        <v>-2210.4997707129892</v>
      </c>
      <c r="E286" s="70">
        <f>IF($D$1="SAC",-'Price x SAC x SACRE'!J285,IF('Base dinâmica'!$D$1="Price",-'Price x SAC x SACRE'!E285,IF('Base dinâmica'!$D$1="sacre",-'Price x SAC x SACRE'!O285,0)))</f>
        <v>-231068.58755250246</v>
      </c>
      <c r="F286" s="70">
        <f t="shared" ref="F286:F294" si="114">+F285</f>
        <v>33682.943812146586</v>
      </c>
      <c r="G286" s="70">
        <f t="shared" ref="G286:G294" si="115">+G285</f>
        <v>-1299.7152773166481</v>
      </c>
      <c r="H286" s="70">
        <f t="shared" ref="H286:H293" si="116">+H285</f>
        <v>-769.83135656447621</v>
      </c>
      <c r="I286" s="70">
        <f t="shared" si="93"/>
        <v>31613.397178265463</v>
      </c>
      <c r="J286" s="123">
        <f t="shared" si="108"/>
        <v>4.0741237836483535E-3</v>
      </c>
      <c r="K286" s="123">
        <f t="shared" si="94"/>
        <v>1.2272234429039575E-2</v>
      </c>
      <c r="L286" s="124">
        <f t="shared" si="107"/>
        <v>0.1075</v>
      </c>
      <c r="M286" s="125">
        <f>+Dashboard!$B$36</f>
        <v>1</v>
      </c>
      <c r="N286" s="160">
        <f t="shared" si="109"/>
        <v>8.5450710394860963E-3</v>
      </c>
      <c r="O286" s="70">
        <f t="shared" si="110"/>
        <v>11840412.367210867</v>
      </c>
    </row>
    <row r="287" spans="1:15" outlineLevel="1" x14ac:dyDescent="0.25">
      <c r="A287" s="122">
        <v>280</v>
      </c>
      <c r="B287" s="70">
        <f>IF($D$1="SAC",-'Price x SAC x SACRE'!G286,IF('Base dinâmica'!$D$1="Price",-'Price x SAC x SACRE'!B286,IF('Base dinâmica'!$D$1="sacre",-'Price x SAC x SACRE'!L286,0)))</f>
        <v>-4100.918274350438</v>
      </c>
      <c r="C287" s="70">
        <f>IF($D$1="SAC",-'Price x SAC x SACRE'!H286,IF('Base dinâmica'!$D$1="Price",-'Price x SAC x SACRE'!C286,IF('Base dinâmica'!$D$1="sacre",-'Price x SAC x SACRE'!M286,0)))</f>
        <v>-1908.3562933781689</v>
      </c>
      <c r="D287" s="70">
        <f>IF($D$1="SAC",-'Price x SAC x SACRE'!I286,IF('Base dinâmica'!$D$1="Price",-'Price x SAC x SACRE'!D286,IF('Base dinâmica'!$D$1="sacre",-'Price x SAC x SACRE'!N286,0)))</f>
        <v>-2192.5619809722693</v>
      </c>
      <c r="E287" s="70">
        <f>IF($D$1="SAC",-'Price x SAC x SACRE'!J286,IF('Base dinâmica'!$D$1="Price",-'Price x SAC x SACRE'!E286,IF('Base dinâmica'!$D$1="sacre",-'Price x SAC x SACRE'!O286,0)))</f>
        <v>-229160.2312591243</v>
      </c>
      <c r="F287" s="70">
        <f t="shared" si="114"/>
        <v>33682.943812146586</v>
      </c>
      <c r="G287" s="70">
        <f t="shared" si="115"/>
        <v>-1299.7152773166481</v>
      </c>
      <c r="H287" s="70">
        <f t="shared" si="116"/>
        <v>-769.83135656447621</v>
      </c>
      <c r="I287" s="70">
        <f t="shared" si="93"/>
        <v>31613.397178265463</v>
      </c>
      <c r="J287" s="123">
        <f t="shared" si="108"/>
        <v>4.0741237836483535E-3</v>
      </c>
      <c r="K287" s="123">
        <f t="shared" si="94"/>
        <v>1.6396356814853741E-2</v>
      </c>
      <c r="L287" s="124">
        <f t="shared" si="107"/>
        <v>0.1075</v>
      </c>
      <c r="M287" s="125">
        <f>+Dashboard!$B$36</f>
        <v>1</v>
      </c>
      <c r="N287" s="160">
        <f t="shared" si="109"/>
        <v>8.5450710394860963E-3</v>
      </c>
      <c r="O287" s="70">
        <f t="shared" si="110"/>
        <v>11969102.010929409</v>
      </c>
    </row>
    <row r="288" spans="1:15" outlineLevel="1" x14ac:dyDescent="0.25">
      <c r="A288" s="122">
        <v>281</v>
      </c>
      <c r="B288" s="70">
        <f>IF($D$1="SAC",-'Price x SAC x SACRE'!G287,IF('Base dinâmica'!$D$1="Price",-'Price x SAC x SACRE'!B287,IF('Base dinâmica'!$D$1="sacre",-'Price x SAC x SACRE'!L287,0)))</f>
        <v>-4100.918274350438</v>
      </c>
      <c r="C288" s="70">
        <f>IF($D$1="SAC",-'Price x SAC x SACRE'!H287,IF('Base dinâmica'!$D$1="Price",-'Price x SAC x SACRE'!C287,IF('Base dinâmica'!$D$1="sacre",-'Price x SAC x SACRE'!M287,0)))</f>
        <v>-1926.4642910914426</v>
      </c>
      <c r="D288" s="70">
        <f>IF($D$1="SAC",-'Price x SAC x SACRE'!I287,IF('Base dinâmica'!$D$1="Price",-'Price x SAC x SACRE'!D287,IF('Base dinâmica'!$D$1="sacre",-'Price x SAC x SACRE'!N287,0)))</f>
        <v>-2174.4539832589953</v>
      </c>
      <c r="E288" s="70">
        <f>IF($D$1="SAC",-'Price x SAC x SACRE'!J287,IF('Base dinâmica'!$D$1="Price",-'Price x SAC x SACRE'!E287,IF('Base dinâmica'!$D$1="sacre",-'Price x SAC x SACRE'!O287,0)))</f>
        <v>-227233.76696803284</v>
      </c>
      <c r="F288" s="70">
        <f t="shared" si="114"/>
        <v>33682.943812146586</v>
      </c>
      <c r="G288" s="70">
        <f t="shared" si="115"/>
        <v>-1299.7152773166481</v>
      </c>
      <c r="H288" s="70">
        <f t="shared" si="116"/>
        <v>-769.83135656447621</v>
      </c>
      <c r="I288" s="70">
        <f t="shared" ref="I288:I351" si="117">+F288+G288+H288</f>
        <v>31613.397178265463</v>
      </c>
      <c r="J288" s="123">
        <f t="shared" si="108"/>
        <v>4.0741237836483535E-3</v>
      </c>
      <c r="K288" s="123">
        <f t="shared" ref="K288:K351" si="118">((+K287+1)*(J288+1))-1</f>
        <v>2.0537281385766715E-2</v>
      </c>
      <c r="L288" s="124">
        <f t="shared" si="107"/>
        <v>0.1075</v>
      </c>
      <c r="M288" s="125">
        <f>+Dashboard!$B$36</f>
        <v>1</v>
      </c>
      <c r="N288" s="160">
        <f t="shared" si="109"/>
        <v>8.5450710394860963E-3</v>
      </c>
      <c r="O288" s="70">
        <f t="shared" si="110"/>
        <v>12098891.316795573</v>
      </c>
    </row>
    <row r="289" spans="1:15" outlineLevel="1" x14ac:dyDescent="0.25">
      <c r="A289" s="122">
        <v>282</v>
      </c>
      <c r="B289" s="70">
        <f>IF($D$1="SAC",-'Price x SAC x SACRE'!G288,IF('Base dinâmica'!$D$1="Price",-'Price x SAC x SACRE'!B288,IF('Base dinâmica'!$D$1="sacre",-'Price x SAC x SACRE'!L288,0)))</f>
        <v>-4100.918274350438</v>
      </c>
      <c r="C289" s="70">
        <f>IF($D$1="SAC",-'Price x SAC x SACRE'!H288,IF('Base dinâmica'!$D$1="Price",-'Price x SAC x SACRE'!C288,IF('Base dinâmica'!$D$1="sacre",-'Price x SAC x SACRE'!M288,0)))</f>
        <v>-1944.7441118454776</v>
      </c>
      <c r="D289" s="70">
        <f>IF($D$1="SAC",-'Price x SAC x SACRE'!I288,IF('Base dinâmica'!$D$1="Price",-'Price x SAC x SACRE'!D288,IF('Base dinâmica'!$D$1="sacre",-'Price x SAC x SACRE'!N288,0)))</f>
        <v>-2156.1741625049603</v>
      </c>
      <c r="E289" s="70">
        <f>IF($D$1="SAC",-'Price x SAC x SACRE'!J288,IF('Base dinâmica'!$D$1="Price",-'Price x SAC x SACRE'!E288,IF('Base dinâmica'!$D$1="sacre",-'Price x SAC x SACRE'!O288,0)))</f>
        <v>-225289.02285618737</v>
      </c>
      <c r="F289" s="70">
        <f t="shared" si="114"/>
        <v>33682.943812146586</v>
      </c>
      <c r="G289" s="70">
        <f t="shared" si="115"/>
        <v>-1299.7152773166481</v>
      </c>
      <c r="H289" s="70">
        <f t="shared" si="116"/>
        <v>-769.83135656447621</v>
      </c>
      <c r="I289" s="70">
        <f t="shared" si="117"/>
        <v>31613.397178265463</v>
      </c>
      <c r="J289" s="123">
        <f t="shared" si="108"/>
        <v>4.0741237836483535E-3</v>
      </c>
      <c r="K289" s="123">
        <f t="shared" si="118"/>
        <v>2.4695076595960375E-2</v>
      </c>
      <c r="L289" s="124">
        <f t="shared" si="107"/>
        <v>0.1075</v>
      </c>
      <c r="M289" s="125">
        <f>+Dashboard!$B$36</f>
        <v>1</v>
      </c>
      <c r="N289" s="160">
        <f t="shared" si="109"/>
        <v>8.5450710394860963E-3</v>
      </c>
      <c r="O289" s="70">
        <f t="shared" si="110"/>
        <v>12229789.681500528</v>
      </c>
    </row>
    <row r="290" spans="1:15" outlineLevel="1" x14ac:dyDescent="0.25">
      <c r="A290" s="122">
        <v>283</v>
      </c>
      <c r="B290" s="70">
        <f>IF($D$1="SAC",-'Price x SAC x SACRE'!G289,IF('Base dinâmica'!$D$1="Price",-'Price x SAC x SACRE'!B289,IF('Base dinâmica'!$D$1="sacre",-'Price x SAC x SACRE'!L289,0)))</f>
        <v>-4100.9182743504389</v>
      </c>
      <c r="C290" s="70">
        <f>IF($D$1="SAC",-'Price x SAC x SACRE'!H289,IF('Base dinâmica'!$D$1="Price",-'Price x SAC x SACRE'!C289,IF('Base dinâmica'!$D$1="sacre",-'Price x SAC x SACRE'!M289,0)))</f>
        <v>-1963.1973860335293</v>
      </c>
      <c r="D290" s="70">
        <f>IF($D$1="SAC",-'Price x SAC x SACRE'!I289,IF('Base dinâmica'!$D$1="Price",-'Price x SAC x SACRE'!D289,IF('Base dinâmica'!$D$1="sacre",-'Price x SAC x SACRE'!N289,0)))</f>
        <v>-2137.7208883169092</v>
      </c>
      <c r="E290" s="70">
        <f>IF($D$1="SAC",-'Price x SAC x SACRE'!J289,IF('Base dinâmica'!$D$1="Price",-'Price x SAC x SACRE'!E289,IF('Base dinâmica'!$D$1="sacre",-'Price x SAC x SACRE'!O289,0)))</f>
        <v>-223325.82547015382</v>
      </c>
      <c r="F290" s="70">
        <f t="shared" si="114"/>
        <v>33682.943812146586</v>
      </c>
      <c r="G290" s="70">
        <f t="shared" si="115"/>
        <v>-1299.7152773166481</v>
      </c>
      <c r="H290" s="70">
        <f t="shared" si="116"/>
        <v>-769.83135656447621</v>
      </c>
      <c r="I290" s="70">
        <f t="shared" si="117"/>
        <v>31613.397178265463</v>
      </c>
      <c r="J290" s="123">
        <f t="shared" si="108"/>
        <v>4.0741237836483535E-3</v>
      </c>
      <c r="K290" s="123">
        <f t="shared" si="118"/>
        <v>2.8869811178507288E-2</v>
      </c>
      <c r="L290" s="124">
        <f t="shared" si="107"/>
        <v>0.1075</v>
      </c>
      <c r="M290" s="125">
        <f>+Dashboard!$B$36</f>
        <v>1</v>
      </c>
      <c r="N290" s="160">
        <f t="shared" si="109"/>
        <v>8.5450710394860963E-3</v>
      </c>
      <c r="O290" s="70">
        <f t="shared" si="110"/>
        <v>12361806.58203084</v>
      </c>
    </row>
    <row r="291" spans="1:15" outlineLevel="1" x14ac:dyDescent="0.25">
      <c r="A291" s="122">
        <v>284</v>
      </c>
      <c r="B291" s="70">
        <f>IF($D$1="SAC",-'Price x SAC x SACRE'!G290,IF('Base dinâmica'!$D$1="Price",-'Price x SAC x SACRE'!B290,IF('Base dinâmica'!$D$1="sacre",-'Price x SAC x SACRE'!L290,0)))</f>
        <v>-4100.918274350438</v>
      </c>
      <c r="C291" s="70">
        <f>IF($D$1="SAC",-'Price x SAC x SACRE'!H290,IF('Base dinâmica'!$D$1="Price",-'Price x SAC x SACRE'!C290,IF('Base dinâmica'!$D$1="sacre",-'Price x SAC x SACRE'!M290,0)))</f>
        <v>-1981.8257595193159</v>
      </c>
      <c r="D291" s="70">
        <f>IF($D$1="SAC",-'Price x SAC x SACRE'!I290,IF('Base dinâmica'!$D$1="Price",-'Price x SAC x SACRE'!D290,IF('Base dinâmica'!$D$1="sacre",-'Price x SAC x SACRE'!N290,0)))</f>
        <v>-2119.0925148311221</v>
      </c>
      <c r="E291" s="70">
        <f>IF($D$1="SAC",-'Price x SAC x SACRE'!J290,IF('Base dinâmica'!$D$1="Price",-'Price x SAC x SACRE'!E290,IF('Base dinâmica'!$D$1="sacre",-'Price x SAC x SACRE'!O290,0)))</f>
        <v>-221343.9997106345</v>
      </c>
      <c r="F291" s="70">
        <f t="shared" si="114"/>
        <v>33682.943812146586</v>
      </c>
      <c r="G291" s="70">
        <f t="shared" si="115"/>
        <v>-1299.7152773166481</v>
      </c>
      <c r="H291" s="70">
        <f t="shared" si="116"/>
        <v>-769.83135656447621</v>
      </c>
      <c r="I291" s="70">
        <f t="shared" si="117"/>
        <v>31613.397178265463</v>
      </c>
      <c r="J291" s="123">
        <f t="shared" si="108"/>
        <v>4.0741237836483535E-3</v>
      </c>
      <c r="K291" s="123">
        <f t="shared" si="118"/>
        <v>3.3061554146507355E-2</v>
      </c>
      <c r="L291" s="124">
        <f t="shared" si="107"/>
        <v>0.1075</v>
      </c>
      <c r="M291" s="125">
        <f>+Dashboard!$B$36</f>
        <v>1</v>
      </c>
      <c r="N291" s="160">
        <f t="shared" si="109"/>
        <v>8.5450710394860963E-3</v>
      </c>
      <c r="O291" s="70">
        <f t="shared" si="110"/>
        <v>12494951.576354597</v>
      </c>
    </row>
    <row r="292" spans="1:15" outlineLevel="1" x14ac:dyDescent="0.25">
      <c r="A292" s="122">
        <v>285</v>
      </c>
      <c r="B292" s="70">
        <f>IF($D$1="SAC",-'Price x SAC x SACRE'!G291,IF('Base dinâmica'!$D$1="Price",-'Price x SAC x SACRE'!B291,IF('Base dinâmica'!$D$1="sacre",-'Price x SAC x SACRE'!L291,0)))</f>
        <v>-4100.918274350438</v>
      </c>
      <c r="C292" s="70">
        <f>IF($D$1="SAC",-'Price x SAC x SACRE'!H291,IF('Base dinâmica'!$D$1="Price",-'Price x SAC x SACRE'!C291,IF('Base dinâmica'!$D$1="sacre",-'Price x SAC x SACRE'!M291,0)))</f>
        <v>-2000.6308937838176</v>
      </c>
      <c r="D292" s="70">
        <f>IF($D$1="SAC",-'Price x SAC x SACRE'!I291,IF('Base dinâmica'!$D$1="Price",-'Price x SAC x SACRE'!D291,IF('Base dinâmica'!$D$1="sacre",-'Price x SAC x SACRE'!N291,0)))</f>
        <v>-2100.2873805666204</v>
      </c>
      <c r="E292" s="70">
        <f>IF($D$1="SAC",-'Price x SAC x SACRE'!J291,IF('Base dinâmica'!$D$1="Price",-'Price x SAC x SACRE'!E291,IF('Base dinâmica'!$D$1="sacre",-'Price x SAC x SACRE'!O291,0)))</f>
        <v>-219343.36881685068</v>
      </c>
      <c r="F292" s="70">
        <f t="shared" si="114"/>
        <v>33682.943812146586</v>
      </c>
      <c r="G292" s="70">
        <f t="shared" si="115"/>
        <v>-1299.7152773166481</v>
      </c>
      <c r="H292" s="70">
        <f t="shared" si="116"/>
        <v>-769.83135656447621</v>
      </c>
      <c r="I292" s="70">
        <f t="shared" si="117"/>
        <v>31613.397178265463</v>
      </c>
      <c r="J292" s="123">
        <f t="shared" si="108"/>
        <v>4.0741237836483535E-3</v>
      </c>
      <c r="K292" s="123">
        <f t="shared" si="118"/>
        <v>3.7270374794228456E-2</v>
      </c>
      <c r="L292" s="124">
        <f t="shared" si="107"/>
        <v>0.1075</v>
      </c>
      <c r="M292" s="125">
        <f>+Dashboard!$B$36</f>
        <v>1</v>
      </c>
      <c r="N292" s="160">
        <f t="shared" si="109"/>
        <v>8.5450710394860963E-3</v>
      </c>
      <c r="O292" s="70">
        <f t="shared" si="110"/>
        <v>12629234.304113401</v>
      </c>
    </row>
    <row r="293" spans="1:15" outlineLevel="1" x14ac:dyDescent="0.25">
      <c r="A293" s="122">
        <v>286</v>
      </c>
      <c r="B293" s="70">
        <f>IF($D$1="SAC",-'Price x SAC x SACRE'!G292,IF('Base dinâmica'!$D$1="Price",-'Price x SAC x SACRE'!B292,IF('Base dinâmica'!$D$1="sacre",-'Price x SAC x SACRE'!L292,0)))</f>
        <v>-4100.9182743504371</v>
      </c>
      <c r="C293" s="70">
        <f>IF($D$1="SAC",-'Price x SAC x SACRE'!H292,IF('Base dinâmica'!$D$1="Price",-'Price x SAC x SACRE'!C292,IF('Base dinâmica'!$D$1="sacre",-'Price x SAC x SACRE'!M292,0)))</f>
        <v>-2019.6144660734617</v>
      </c>
      <c r="D293" s="70">
        <f>IF($D$1="SAC",-'Price x SAC x SACRE'!I292,IF('Base dinâmica'!$D$1="Price",-'Price x SAC x SACRE'!D292,IF('Base dinâmica'!$D$1="sacre",-'Price x SAC x SACRE'!N292,0)))</f>
        <v>-2081.3038082769758</v>
      </c>
      <c r="E293" s="70">
        <f>IF($D$1="SAC",-'Price x SAC x SACRE'!J292,IF('Base dinâmica'!$D$1="Price",-'Price x SAC x SACRE'!E292,IF('Base dinâmica'!$D$1="sacre",-'Price x SAC x SACRE'!O292,0)))</f>
        <v>-217323.75435077722</v>
      </c>
      <c r="F293" s="70">
        <f t="shared" si="114"/>
        <v>33682.943812146586</v>
      </c>
      <c r="G293" s="70">
        <f t="shared" si="115"/>
        <v>-1299.7152773166481</v>
      </c>
      <c r="H293" s="70">
        <f t="shared" si="116"/>
        <v>-769.83135656447621</v>
      </c>
      <c r="I293" s="70">
        <f t="shared" si="117"/>
        <v>31613.397178265463</v>
      </c>
      <c r="J293" s="123">
        <f t="shared" si="108"/>
        <v>4.0741237836483535E-3</v>
      </c>
      <c r="K293" s="123">
        <f t="shared" si="118"/>
        <v>4.1496342698251532E-2</v>
      </c>
      <c r="L293" s="124">
        <f t="shared" si="107"/>
        <v>0.1075</v>
      </c>
      <c r="M293" s="125">
        <f>+Dashboard!$B$36</f>
        <v>1</v>
      </c>
      <c r="N293" s="160">
        <f t="shared" si="109"/>
        <v>8.5450710394860963E-3</v>
      </c>
      <c r="O293" s="70">
        <f t="shared" si="110"/>
        <v>12764664.48732028</v>
      </c>
    </row>
    <row r="294" spans="1:15" outlineLevel="1" x14ac:dyDescent="0.25">
      <c r="A294" s="122">
        <v>287</v>
      </c>
      <c r="B294" s="70">
        <f>IF($D$1="SAC",-'Price x SAC x SACRE'!G293,IF('Base dinâmica'!$D$1="Price",-'Price x SAC x SACRE'!B293,IF('Base dinâmica'!$D$1="sacre",-'Price x SAC x SACRE'!L293,0)))</f>
        <v>-4100.918274350438</v>
      </c>
      <c r="C294" s="70">
        <f>IF($D$1="SAC",-'Price x SAC x SACRE'!H293,IF('Base dinâmica'!$D$1="Price",-'Price x SAC x SACRE'!C293,IF('Base dinâmica'!$D$1="sacre",-'Price x SAC x SACRE'!M293,0)))</f>
        <v>-2038.7781695497215</v>
      </c>
      <c r="D294" s="70">
        <f>IF($D$1="SAC",-'Price x SAC x SACRE'!I293,IF('Base dinâmica'!$D$1="Price",-'Price x SAC x SACRE'!D293,IF('Base dinâmica'!$D$1="sacre",-'Price x SAC x SACRE'!N293,0)))</f>
        <v>-2062.1401048007165</v>
      </c>
      <c r="E294" s="70">
        <f>IF($D$1="SAC",-'Price x SAC x SACRE'!J293,IF('Base dinâmica'!$D$1="Price",-'Price x SAC x SACRE'!E293,IF('Base dinâmica'!$D$1="sacre",-'Price x SAC x SACRE'!O293,0)))</f>
        <v>-215284.97618122751</v>
      </c>
      <c r="F294" s="70">
        <f t="shared" si="114"/>
        <v>33682.943812146586</v>
      </c>
      <c r="G294" s="70">
        <f t="shared" si="115"/>
        <v>-1299.7152773166481</v>
      </c>
      <c r="H294" s="70">
        <v>0</v>
      </c>
      <c r="I294" s="70">
        <f t="shared" si="117"/>
        <v>32383.228534829937</v>
      </c>
      <c r="J294" s="123">
        <f t="shared" si="108"/>
        <v>4.0741237836483535E-3</v>
      </c>
      <c r="K294" s="123">
        <f t="shared" si="118"/>
        <v>4.573952771862122E-2</v>
      </c>
      <c r="L294" s="124">
        <f t="shared" si="107"/>
        <v>0.1075</v>
      </c>
      <c r="M294" s="125">
        <f>+Dashboard!$B$36</f>
        <v>1</v>
      </c>
      <c r="N294" s="160">
        <f t="shared" si="109"/>
        <v>8.5450710394860963E-3</v>
      </c>
      <c r="O294" s="70">
        <f t="shared" si="110"/>
        <v>12902021.762420118</v>
      </c>
    </row>
    <row r="295" spans="1:15" s="53" customFormat="1" x14ac:dyDescent="0.25">
      <c r="A295" s="68">
        <v>288</v>
      </c>
      <c r="B295" s="64">
        <f>IF($D$1="SAC",-'Price x SAC x SACRE'!G294,IF('Base dinâmica'!$D$1="Price",-'Price x SAC x SACRE'!B294,IF('Base dinâmica'!$D$1="sacre",-'Price x SAC x SACRE'!L294,0)))</f>
        <v>-4100.918274350438</v>
      </c>
      <c r="C295" s="64">
        <f>IF($D$1="SAC",-'Price x SAC x SACRE'!H294,IF('Base dinâmica'!$D$1="Price",-'Price x SAC x SACRE'!C294,IF('Base dinâmica'!$D$1="sacre",-'Price x SAC x SACRE'!M294,0)))</f>
        <v>-2058.1237134401272</v>
      </c>
      <c r="D295" s="64">
        <f>IF($D$1="SAC",-'Price x SAC x SACRE'!I294,IF('Base dinâmica'!$D$1="Price",-'Price x SAC x SACRE'!D294,IF('Base dinâmica'!$D$1="sacre",-'Price x SAC x SACRE'!N294,0)))</f>
        <v>-2042.7945609103108</v>
      </c>
      <c r="E295" s="64">
        <f>IF($D$1="SAC",-'Price x SAC x SACRE'!J294,IF('Base dinâmica'!$D$1="Price",-'Price x SAC x SACRE'!E294,IF('Base dinâmica'!$D$1="sacre",-'Price x SAC x SACRE'!O294,0)))</f>
        <v>-213226.85246778739</v>
      </c>
      <c r="F295" s="64">
        <f>+F294</f>
        <v>33682.943812146586</v>
      </c>
      <c r="G295" s="64">
        <f>+G294</f>
        <v>-1299.7152773166481</v>
      </c>
      <c r="H295" s="64">
        <v>0</v>
      </c>
      <c r="I295" s="64">
        <f t="shared" si="117"/>
        <v>32383.228534829937</v>
      </c>
      <c r="J295" s="119">
        <f t="shared" si="108"/>
        <v>4.0741237836483535E-3</v>
      </c>
      <c r="K295" s="119">
        <f t="shared" si="118"/>
        <v>5.0000000000000933E-2</v>
      </c>
      <c r="L295" s="120">
        <f t="shared" si="107"/>
        <v>0.1075</v>
      </c>
      <c r="M295" s="121">
        <f>+Dashboard!$B$36</f>
        <v>1</v>
      </c>
      <c r="N295" s="160">
        <f t="shared" si="109"/>
        <v>8.5450710394860963E-3</v>
      </c>
      <c r="O295" s="64">
        <f t="shared" si="110"/>
        <v>13040552.765193474</v>
      </c>
    </row>
    <row r="296" spans="1:15" outlineLevel="1" x14ac:dyDescent="0.25">
      <c r="A296" s="122">
        <v>289</v>
      </c>
      <c r="B296" s="70">
        <f>IF($D$1="SAC",-'Price x SAC x SACRE'!G295,IF('Base dinâmica'!$D$1="Price",-'Price x SAC x SACRE'!B295,IF('Base dinâmica'!$D$1="sacre",-'Price x SAC x SACRE'!L295,0)))</f>
        <v>-4100.918274350438</v>
      </c>
      <c r="C296" s="70">
        <f>IF($D$1="SAC",-'Price x SAC x SACRE'!H295,IF('Base dinâmica'!$D$1="Price",-'Price x SAC x SACRE'!C295,IF('Base dinâmica'!$D$1="sacre",-'Price x SAC x SACRE'!M295,0)))</f>
        <v>-2077.6528231907155</v>
      </c>
      <c r="D296" s="70">
        <f>IF($D$1="SAC",-'Price x SAC x SACRE'!I295,IF('Base dinâmica'!$D$1="Price",-'Price x SAC x SACRE'!D295,IF('Base dinâmica'!$D$1="sacre",-'Price x SAC x SACRE'!N295,0)))</f>
        <v>-2023.2654511597225</v>
      </c>
      <c r="E296" s="70">
        <f>IF($D$1="SAC",-'Price x SAC x SACRE'!J295,IF('Base dinâmica'!$D$1="Price",-'Price x SAC x SACRE'!E295,IF('Base dinâmica'!$D$1="sacre",-'Price x SAC x SACRE'!O295,0)))</f>
        <v>-211149.19964459667</v>
      </c>
      <c r="F296" s="70">
        <f>+F295*(1+K295)</f>
        <v>35367.09100275395</v>
      </c>
      <c r="G296" s="70">
        <f>+G295*(1+K295)</f>
        <v>-1364.7010411824817</v>
      </c>
      <c r="H296" s="70">
        <f>+H293*(1+K295)</f>
        <v>-808.32292439270077</v>
      </c>
      <c r="I296" s="70">
        <f t="shared" si="117"/>
        <v>33194.067037178771</v>
      </c>
      <c r="J296" s="123">
        <f t="shared" si="108"/>
        <v>4.0741237836483535E-3</v>
      </c>
      <c r="K296" s="123">
        <f>+J296</f>
        <v>4.0741237836483535E-3</v>
      </c>
      <c r="L296" s="124">
        <f t="shared" si="107"/>
        <v>0.1075</v>
      </c>
      <c r="M296" s="125">
        <f>+Dashboard!$B$36</f>
        <v>1</v>
      </c>
      <c r="N296" s="160">
        <f t="shared" si="109"/>
        <v>8.5450710394860963E-3</v>
      </c>
      <c r="O296" s="70">
        <f t="shared" si="110"/>
        <v>13181078.363729047</v>
      </c>
    </row>
    <row r="297" spans="1:15" outlineLevel="1" x14ac:dyDescent="0.25">
      <c r="A297" s="122">
        <v>290</v>
      </c>
      <c r="B297" s="70">
        <f>IF($D$1="SAC",-'Price x SAC x SACRE'!G296,IF('Base dinâmica'!$D$1="Price",-'Price x SAC x SACRE'!B296,IF('Base dinâmica'!$D$1="sacre",-'Price x SAC x SACRE'!L296,0)))</f>
        <v>-4100.918274350438</v>
      </c>
      <c r="C297" s="70">
        <f>IF($D$1="SAC",-'Price x SAC x SACRE'!H296,IF('Base dinâmica'!$D$1="Price",-'Price x SAC x SACRE'!C296,IF('Base dinâmica'!$D$1="sacre",-'Price x SAC x SACRE'!M296,0)))</f>
        <v>-2097.3672406199244</v>
      </c>
      <c r="D297" s="70">
        <f>IF($D$1="SAC",-'Price x SAC x SACRE'!I296,IF('Base dinâmica'!$D$1="Price",-'Price x SAC x SACRE'!D296,IF('Base dinâmica'!$D$1="sacre",-'Price x SAC x SACRE'!N296,0)))</f>
        <v>-2003.5510337305138</v>
      </c>
      <c r="E297" s="70">
        <f>IF($D$1="SAC",-'Price x SAC x SACRE'!J296,IF('Base dinâmica'!$D$1="Price",-'Price x SAC x SACRE'!E296,IF('Base dinâmica'!$D$1="sacre",-'Price x SAC x SACRE'!O296,0)))</f>
        <v>-209051.83240397673</v>
      </c>
      <c r="F297" s="70">
        <f>+F296</f>
        <v>35367.09100275395</v>
      </c>
      <c r="G297" s="70">
        <f>+G296</f>
        <v>-1364.7010411824817</v>
      </c>
      <c r="H297" s="70">
        <f>+H296</f>
        <v>-808.32292439270077</v>
      </c>
      <c r="I297" s="70">
        <f t="shared" si="117"/>
        <v>33194.067037178771</v>
      </c>
      <c r="J297" s="123">
        <f t="shared" si="108"/>
        <v>4.0741237836483535E-3</v>
      </c>
      <c r="K297" s="123">
        <f t="shared" si="118"/>
        <v>8.1648460519012644E-3</v>
      </c>
      <c r="L297" s="124">
        <f t="shared" si="107"/>
        <v>0.1075</v>
      </c>
      <c r="M297" s="125">
        <f>+Dashboard!$B$36</f>
        <v>1</v>
      </c>
      <c r="N297" s="160">
        <f t="shared" si="109"/>
        <v>8.5450710394860963E-3</v>
      </c>
      <c r="O297" s="70">
        <f t="shared" si="110"/>
        <v>13322804.763486972</v>
      </c>
    </row>
    <row r="298" spans="1:15" outlineLevel="1" x14ac:dyDescent="0.25">
      <c r="A298" s="122">
        <v>291</v>
      </c>
      <c r="B298" s="70">
        <f>IF($D$1="SAC",-'Price x SAC x SACRE'!G297,IF('Base dinâmica'!$D$1="Price",-'Price x SAC x SACRE'!B297,IF('Base dinâmica'!$D$1="sacre",-'Price x SAC x SACRE'!L297,0)))</f>
        <v>-4100.918274350438</v>
      </c>
      <c r="C298" s="70">
        <f>IF($D$1="SAC",-'Price x SAC x SACRE'!H297,IF('Base dinâmica'!$D$1="Price",-'Price x SAC x SACRE'!C297,IF('Base dinâmica'!$D$1="sacre",-'Price x SAC x SACRE'!M297,0)))</f>
        <v>-2117.2687240739442</v>
      </c>
      <c r="D298" s="70">
        <f>IF($D$1="SAC",-'Price x SAC x SACRE'!I297,IF('Base dinâmica'!$D$1="Price",-'Price x SAC x SACRE'!D297,IF('Base dinâmica'!$D$1="sacre",-'Price x SAC x SACRE'!N297,0)))</f>
        <v>-1983.6495502764935</v>
      </c>
      <c r="E298" s="70">
        <f>IF($D$1="SAC",-'Price x SAC x SACRE'!J297,IF('Base dinâmica'!$D$1="Price",-'Price x SAC x SACRE'!E297,IF('Base dinâmica'!$D$1="sacre",-'Price x SAC x SACRE'!O297,0)))</f>
        <v>-206934.56367990279</v>
      </c>
      <c r="F298" s="70">
        <f t="shared" ref="F298:F306" si="119">+F297</f>
        <v>35367.09100275395</v>
      </c>
      <c r="G298" s="70">
        <f t="shared" ref="G298:G306" si="120">+G297</f>
        <v>-1364.7010411824817</v>
      </c>
      <c r="H298" s="70">
        <f t="shared" ref="H298:H305" si="121">+H297</f>
        <v>-808.32292439270077</v>
      </c>
      <c r="I298" s="70">
        <f t="shared" si="117"/>
        <v>33194.067037178771</v>
      </c>
      <c r="J298" s="123">
        <f t="shared" si="108"/>
        <v>4.0741237836483535E-3</v>
      </c>
      <c r="K298" s="123">
        <f t="shared" si="118"/>
        <v>1.2272234429039575E-2</v>
      </c>
      <c r="L298" s="124">
        <f t="shared" si="107"/>
        <v>0.1075</v>
      </c>
      <c r="M298" s="125">
        <f>+Dashboard!$B$36</f>
        <v>1</v>
      </c>
      <c r="N298" s="160">
        <f t="shared" si="109"/>
        <v>8.5450710394860963E-3</v>
      </c>
      <c r="O298" s="70">
        <f t="shared" si="110"/>
        <v>13465742.225399001</v>
      </c>
    </row>
    <row r="299" spans="1:15" outlineLevel="1" x14ac:dyDescent="0.25">
      <c r="A299" s="122">
        <v>292</v>
      </c>
      <c r="B299" s="70">
        <f>IF($D$1="SAC",-'Price x SAC x SACRE'!G298,IF('Base dinâmica'!$D$1="Price",-'Price x SAC x SACRE'!B298,IF('Base dinâmica'!$D$1="sacre",-'Price x SAC x SACRE'!L298,0)))</f>
        <v>-4100.918274350438</v>
      </c>
      <c r="C299" s="70">
        <f>IF($D$1="SAC",-'Price x SAC x SACRE'!H298,IF('Base dinâmica'!$D$1="Price",-'Price x SAC x SACRE'!C298,IF('Base dinâmica'!$D$1="sacre",-'Price x SAC x SACRE'!M298,0)))</f>
        <v>-2137.3590485835512</v>
      </c>
      <c r="D299" s="70">
        <f>IF($D$1="SAC",-'Price x SAC x SACRE'!I298,IF('Base dinâmica'!$D$1="Price",-'Price x SAC x SACRE'!D298,IF('Base dinâmica'!$D$1="sacre",-'Price x SAC x SACRE'!N298,0)))</f>
        <v>-1963.5592257668868</v>
      </c>
      <c r="E299" s="70">
        <f>IF($D$1="SAC",-'Price x SAC x SACRE'!J298,IF('Base dinâmica'!$D$1="Price",-'Price x SAC x SACRE'!E298,IF('Base dinâmica'!$D$1="sacre",-'Price x SAC x SACRE'!O298,0)))</f>
        <v>-204797.20463131924</v>
      </c>
      <c r="F299" s="70">
        <f t="shared" si="119"/>
        <v>35367.09100275395</v>
      </c>
      <c r="G299" s="70">
        <f t="shared" si="120"/>
        <v>-1364.7010411824817</v>
      </c>
      <c r="H299" s="70">
        <f t="shared" si="121"/>
        <v>-808.32292439270077</v>
      </c>
      <c r="I299" s="70">
        <f t="shared" si="117"/>
        <v>33194.067037178771</v>
      </c>
      <c r="J299" s="123">
        <f t="shared" si="108"/>
        <v>4.0741237836483535E-3</v>
      </c>
      <c r="K299" s="123">
        <f t="shared" si="118"/>
        <v>1.6396356814853741E-2</v>
      </c>
      <c r="L299" s="124">
        <f t="shared" si="107"/>
        <v>0.1075</v>
      </c>
      <c r="M299" s="125">
        <f>+Dashboard!$B$36</f>
        <v>1</v>
      </c>
      <c r="N299" s="160">
        <f t="shared" si="109"/>
        <v>8.5450710394860963E-3</v>
      </c>
      <c r="O299" s="70">
        <f t="shared" si="110"/>
        <v>13609901.098077271</v>
      </c>
    </row>
    <row r="300" spans="1:15" outlineLevel="1" x14ac:dyDescent="0.25">
      <c r="A300" s="122">
        <v>293</v>
      </c>
      <c r="B300" s="70">
        <f>IF($D$1="SAC",-'Price x SAC x SACRE'!G299,IF('Base dinâmica'!$D$1="Price",-'Price x SAC x SACRE'!B299,IF('Base dinâmica'!$D$1="sacre",-'Price x SAC x SACRE'!L299,0)))</f>
        <v>-4100.918274350438</v>
      </c>
      <c r="C300" s="70">
        <f>IF($D$1="SAC",-'Price x SAC x SACRE'!H299,IF('Base dinâmica'!$D$1="Price",-'Price x SAC x SACRE'!C299,IF('Base dinâmica'!$D$1="sacre",-'Price x SAC x SACRE'!M299,0)))</f>
        <v>-2157.6400060224178</v>
      </c>
      <c r="D300" s="70">
        <f>IF($D$1="SAC",-'Price x SAC x SACRE'!I299,IF('Base dinâmica'!$D$1="Price",-'Price x SAC x SACRE'!D299,IF('Base dinâmica'!$D$1="sacre",-'Price x SAC x SACRE'!N299,0)))</f>
        <v>-1943.2782683280202</v>
      </c>
      <c r="E300" s="70">
        <f>IF($D$1="SAC",-'Price x SAC x SACRE'!J299,IF('Base dinâmica'!$D$1="Price",-'Price x SAC x SACRE'!E299,IF('Base dinâmica'!$D$1="sacre",-'Price x SAC x SACRE'!O299,0)))</f>
        <v>-202639.56462529683</v>
      </c>
      <c r="F300" s="70">
        <f t="shared" si="119"/>
        <v>35367.09100275395</v>
      </c>
      <c r="G300" s="70">
        <f t="shared" si="120"/>
        <v>-1364.7010411824817</v>
      </c>
      <c r="H300" s="70">
        <f t="shared" si="121"/>
        <v>-808.32292439270077</v>
      </c>
      <c r="I300" s="70">
        <f t="shared" si="117"/>
        <v>33194.067037178771</v>
      </c>
      <c r="J300" s="123">
        <f t="shared" si="108"/>
        <v>4.0741237836483535E-3</v>
      </c>
      <c r="K300" s="123">
        <f t="shared" si="118"/>
        <v>2.0537281385766715E-2</v>
      </c>
      <c r="L300" s="124">
        <f t="shared" si="107"/>
        <v>0.1075</v>
      </c>
      <c r="M300" s="125">
        <f>+Dashboard!$B$36</f>
        <v>1</v>
      </c>
      <c r="N300" s="160">
        <f t="shared" si="109"/>
        <v>8.5450710394860963E-3</v>
      </c>
      <c r="O300" s="70">
        <f t="shared" si="110"/>
        <v>13755291.818563549</v>
      </c>
    </row>
    <row r="301" spans="1:15" outlineLevel="1" x14ac:dyDescent="0.25">
      <c r="A301" s="122">
        <v>294</v>
      </c>
      <c r="B301" s="70">
        <f>IF($D$1="SAC",-'Price x SAC x SACRE'!G300,IF('Base dinâmica'!$D$1="Price",-'Price x SAC x SACRE'!B300,IF('Base dinâmica'!$D$1="sacre",-'Price x SAC x SACRE'!L300,0)))</f>
        <v>-4100.918274350438</v>
      </c>
      <c r="C301" s="70">
        <f>IF($D$1="SAC",-'Price x SAC x SACRE'!H300,IF('Base dinâmica'!$D$1="Price",-'Price x SAC x SACRE'!C300,IF('Base dinâmica'!$D$1="sacre",-'Price x SAC x SACRE'!M300,0)))</f>
        <v>-2178.1134052669368</v>
      </c>
      <c r="D301" s="70">
        <f>IF($D$1="SAC",-'Price x SAC x SACRE'!I300,IF('Base dinâmica'!$D$1="Price",-'Price x SAC x SACRE'!D300,IF('Base dinâmica'!$D$1="sacre",-'Price x SAC x SACRE'!N300,0)))</f>
        <v>-1922.804869083501</v>
      </c>
      <c r="E301" s="70">
        <f>IF($D$1="SAC",-'Price x SAC x SACRE'!J300,IF('Base dinâmica'!$D$1="Price",-'Price x SAC x SACRE'!E300,IF('Base dinâmica'!$D$1="sacre",-'Price x SAC x SACRE'!O300,0)))</f>
        <v>-200461.45122002991</v>
      </c>
      <c r="F301" s="70">
        <f t="shared" si="119"/>
        <v>35367.09100275395</v>
      </c>
      <c r="G301" s="70">
        <f t="shared" si="120"/>
        <v>-1364.7010411824817</v>
      </c>
      <c r="H301" s="70">
        <f t="shared" si="121"/>
        <v>-808.32292439270077</v>
      </c>
      <c r="I301" s="70">
        <f t="shared" si="117"/>
        <v>33194.067037178771</v>
      </c>
      <c r="J301" s="123">
        <f t="shared" si="108"/>
        <v>4.0741237836483535E-3</v>
      </c>
      <c r="K301" s="123">
        <f t="shared" si="118"/>
        <v>2.4695076595960375E-2</v>
      </c>
      <c r="L301" s="124">
        <f t="shared" si="107"/>
        <v>0.1075</v>
      </c>
      <c r="M301" s="125">
        <f>+Dashboard!$B$36</f>
        <v>1</v>
      </c>
      <c r="N301" s="160">
        <f t="shared" si="109"/>
        <v>8.5450710394860963E-3</v>
      </c>
      <c r="O301" s="70">
        <f t="shared" si="110"/>
        <v>13901924.913084865</v>
      </c>
    </row>
    <row r="302" spans="1:15" outlineLevel="1" x14ac:dyDescent="0.25">
      <c r="A302" s="122">
        <v>295</v>
      </c>
      <c r="B302" s="70">
        <f>IF($D$1="SAC",-'Price x SAC x SACRE'!G301,IF('Base dinâmica'!$D$1="Price",-'Price x SAC x SACRE'!B301,IF('Base dinâmica'!$D$1="sacre",-'Price x SAC x SACRE'!L301,0)))</f>
        <v>-4100.9182743504389</v>
      </c>
      <c r="C302" s="70">
        <f>IF($D$1="SAC",-'Price x SAC x SACRE'!H301,IF('Base dinâmica'!$D$1="Price",-'Price x SAC x SACRE'!C301,IF('Base dinâmica'!$D$1="sacre",-'Price x SAC x SACRE'!M301,0)))</f>
        <v>-2198.7810723575549</v>
      </c>
      <c r="D302" s="70">
        <f>IF($D$1="SAC",-'Price x SAC x SACRE'!I301,IF('Base dinâmica'!$D$1="Price",-'Price x SAC x SACRE'!D301,IF('Base dinâmica'!$D$1="sacre",-'Price x SAC x SACRE'!N301,0)))</f>
        <v>-1902.1372019928835</v>
      </c>
      <c r="E302" s="70">
        <f>IF($D$1="SAC",-'Price x SAC x SACRE'!J301,IF('Base dinâmica'!$D$1="Price",-'Price x SAC x SACRE'!E301,IF('Base dinâmica'!$D$1="sacre",-'Price x SAC x SACRE'!O301,0)))</f>
        <v>-198262.67014767235</v>
      </c>
      <c r="F302" s="70">
        <f t="shared" si="119"/>
        <v>35367.09100275395</v>
      </c>
      <c r="G302" s="70">
        <f t="shared" si="120"/>
        <v>-1364.7010411824817</v>
      </c>
      <c r="H302" s="70">
        <f t="shared" si="121"/>
        <v>-808.32292439270077</v>
      </c>
      <c r="I302" s="70">
        <f t="shared" si="117"/>
        <v>33194.067037178771</v>
      </c>
      <c r="J302" s="123">
        <f t="shared" si="108"/>
        <v>4.0741237836483535E-3</v>
      </c>
      <c r="K302" s="123">
        <f t="shared" si="118"/>
        <v>2.8869811178507288E-2</v>
      </c>
      <c r="L302" s="124">
        <f t="shared" si="107"/>
        <v>0.1075</v>
      </c>
      <c r="M302" s="125">
        <f>+Dashboard!$B$36</f>
        <v>1</v>
      </c>
      <c r="N302" s="160">
        <f t="shared" si="109"/>
        <v>8.5450710394860963E-3</v>
      </c>
      <c r="O302" s="70">
        <f t="shared" si="110"/>
        <v>14049810.997815603</v>
      </c>
    </row>
    <row r="303" spans="1:15" outlineLevel="1" x14ac:dyDescent="0.25">
      <c r="A303" s="122">
        <v>296</v>
      </c>
      <c r="B303" s="70">
        <f>IF($D$1="SAC",-'Price x SAC x SACRE'!G302,IF('Base dinâmica'!$D$1="Price",-'Price x SAC x SACRE'!B302,IF('Base dinâmica'!$D$1="sacre",-'Price x SAC x SACRE'!L302,0)))</f>
        <v>-4100.918274350438</v>
      </c>
      <c r="C303" s="70">
        <f>IF($D$1="SAC",-'Price x SAC x SACRE'!H302,IF('Base dinâmica'!$D$1="Price",-'Price x SAC x SACRE'!C302,IF('Base dinâmica'!$D$1="sacre",-'Price x SAC x SACRE'!M302,0)))</f>
        <v>-2219.6448506616357</v>
      </c>
      <c r="D303" s="70">
        <f>IF($D$1="SAC",-'Price x SAC x SACRE'!I302,IF('Base dinâmica'!$D$1="Price",-'Price x SAC x SACRE'!D302,IF('Base dinâmica'!$D$1="sacre",-'Price x SAC x SACRE'!N302,0)))</f>
        <v>-1881.2734236888023</v>
      </c>
      <c r="E303" s="70">
        <f>IF($D$1="SAC",-'Price x SAC x SACRE'!J302,IF('Base dinâmica'!$D$1="Price",-'Price x SAC x SACRE'!E302,IF('Base dinâmica'!$D$1="sacre",-'Price x SAC x SACRE'!O302,0)))</f>
        <v>-196043.02529701072</v>
      </c>
      <c r="F303" s="70">
        <f t="shared" si="119"/>
        <v>35367.09100275395</v>
      </c>
      <c r="G303" s="70">
        <f t="shared" si="120"/>
        <v>-1364.7010411824817</v>
      </c>
      <c r="H303" s="70">
        <f t="shared" si="121"/>
        <v>-808.32292439270077</v>
      </c>
      <c r="I303" s="70">
        <f t="shared" si="117"/>
        <v>33194.067037178771</v>
      </c>
      <c r="J303" s="123">
        <f t="shared" si="108"/>
        <v>4.0741237836483535E-3</v>
      </c>
      <c r="K303" s="123">
        <f t="shared" si="118"/>
        <v>3.3061554146507355E-2</v>
      </c>
      <c r="L303" s="124">
        <f t="shared" si="107"/>
        <v>0.1075</v>
      </c>
      <c r="M303" s="125">
        <f>+Dashboard!$B$36</f>
        <v>1</v>
      </c>
      <c r="N303" s="160">
        <f t="shared" si="109"/>
        <v>8.5450710394860963E-3</v>
      </c>
      <c r="O303" s="70">
        <f t="shared" si="110"/>
        <v>14198960.779646119</v>
      </c>
    </row>
    <row r="304" spans="1:15" outlineLevel="1" x14ac:dyDescent="0.25">
      <c r="A304" s="122">
        <v>297</v>
      </c>
      <c r="B304" s="70">
        <f>IF($D$1="SAC",-'Price x SAC x SACRE'!G303,IF('Base dinâmica'!$D$1="Price",-'Price x SAC x SACRE'!B303,IF('Base dinâmica'!$D$1="sacre",-'Price x SAC x SACRE'!L303,0)))</f>
        <v>-4100.918274350438</v>
      </c>
      <c r="C304" s="70">
        <f>IF($D$1="SAC",-'Price x SAC x SACRE'!H303,IF('Base dinâmica'!$D$1="Price",-'Price x SAC x SACRE'!C303,IF('Base dinâmica'!$D$1="sacre",-'Price x SAC x SACRE'!M303,0)))</f>
        <v>-2240.7066010378776</v>
      </c>
      <c r="D304" s="70">
        <f>IF($D$1="SAC",-'Price x SAC x SACRE'!I303,IF('Base dinâmica'!$D$1="Price",-'Price x SAC x SACRE'!D303,IF('Base dinâmica'!$D$1="sacre",-'Price x SAC x SACRE'!N303,0)))</f>
        <v>-1860.2116733125606</v>
      </c>
      <c r="E304" s="70">
        <f>IF($D$1="SAC",-'Price x SAC x SACRE'!J303,IF('Base dinâmica'!$D$1="Price",-'Price x SAC x SACRE'!E303,IF('Base dinâmica'!$D$1="sacre",-'Price x SAC x SACRE'!O303,0)))</f>
        <v>-193802.31869597285</v>
      </c>
      <c r="F304" s="70">
        <f t="shared" si="119"/>
        <v>35367.09100275395</v>
      </c>
      <c r="G304" s="70">
        <f t="shared" si="120"/>
        <v>-1364.7010411824817</v>
      </c>
      <c r="H304" s="70">
        <f t="shared" si="121"/>
        <v>-808.32292439270077</v>
      </c>
      <c r="I304" s="70">
        <f t="shared" si="117"/>
        <v>33194.067037178771</v>
      </c>
      <c r="J304" s="123">
        <f t="shared" si="108"/>
        <v>4.0741237836483535E-3</v>
      </c>
      <c r="K304" s="123">
        <f t="shared" si="118"/>
        <v>3.7270374794228456E-2</v>
      </c>
      <c r="L304" s="124">
        <f t="shared" si="107"/>
        <v>0.1075</v>
      </c>
      <c r="M304" s="125">
        <f>+Dashboard!$B$36</f>
        <v>1</v>
      </c>
      <c r="N304" s="160">
        <f t="shared" si="109"/>
        <v>8.5450710394860963E-3</v>
      </c>
      <c r="O304" s="70">
        <f t="shared" si="110"/>
        <v>14349385.056957901</v>
      </c>
    </row>
    <row r="305" spans="1:15" outlineLevel="1" x14ac:dyDescent="0.25">
      <c r="A305" s="122">
        <v>298</v>
      </c>
      <c r="B305" s="70">
        <f>IF($D$1="SAC",-'Price x SAC x SACRE'!G304,IF('Base dinâmica'!$D$1="Price",-'Price x SAC x SACRE'!B304,IF('Base dinâmica'!$D$1="sacre",-'Price x SAC x SACRE'!L304,0)))</f>
        <v>-4100.918274350438</v>
      </c>
      <c r="C305" s="70">
        <f>IF($D$1="SAC",-'Price x SAC x SACRE'!H304,IF('Base dinâmica'!$D$1="Price",-'Price x SAC x SACRE'!C304,IF('Base dinâmica'!$D$1="sacre",-'Price x SAC x SACRE'!M304,0)))</f>
        <v>-2261.9682020022792</v>
      </c>
      <c r="D305" s="70">
        <f>IF($D$1="SAC",-'Price x SAC x SACRE'!I304,IF('Base dinâmica'!$D$1="Price",-'Price x SAC x SACRE'!D304,IF('Base dinâmica'!$D$1="sacre",-'Price x SAC x SACRE'!N304,0)))</f>
        <v>-1838.950072348159</v>
      </c>
      <c r="E305" s="70">
        <f>IF($D$1="SAC",-'Price x SAC x SACRE'!J304,IF('Base dinâmica'!$D$1="Price",-'Price x SAC x SACRE'!E304,IF('Base dinâmica'!$D$1="sacre",-'Price x SAC x SACRE'!O304,0)))</f>
        <v>-191540.35049397056</v>
      </c>
      <c r="F305" s="70">
        <f t="shared" si="119"/>
        <v>35367.09100275395</v>
      </c>
      <c r="G305" s="70">
        <f t="shared" si="120"/>
        <v>-1364.7010411824817</v>
      </c>
      <c r="H305" s="70">
        <f t="shared" si="121"/>
        <v>-808.32292439270077</v>
      </c>
      <c r="I305" s="70">
        <f t="shared" si="117"/>
        <v>33194.067037178771</v>
      </c>
      <c r="J305" s="123">
        <f t="shared" si="108"/>
        <v>4.0741237836483535E-3</v>
      </c>
      <c r="K305" s="123">
        <f t="shared" si="118"/>
        <v>4.1496342698251532E-2</v>
      </c>
      <c r="L305" s="124">
        <f t="shared" si="107"/>
        <v>0.1075</v>
      </c>
      <c r="M305" s="125">
        <f>+Dashboard!$B$36</f>
        <v>1</v>
      </c>
      <c r="N305" s="160">
        <f t="shared" si="109"/>
        <v>8.5450710394860963E-3</v>
      </c>
      <c r="O305" s="70">
        <f t="shared" si="110"/>
        <v>14501094.720405374</v>
      </c>
    </row>
    <row r="306" spans="1:15" outlineLevel="1" x14ac:dyDescent="0.25">
      <c r="A306" s="122">
        <v>299</v>
      </c>
      <c r="B306" s="70">
        <f>IF($D$1="SAC",-'Price x SAC x SACRE'!G305,IF('Base dinâmica'!$D$1="Price",-'Price x SAC x SACRE'!B305,IF('Base dinâmica'!$D$1="sacre",-'Price x SAC x SACRE'!L305,0)))</f>
        <v>-4100.9182743504389</v>
      </c>
      <c r="C306" s="70">
        <f>IF($D$1="SAC",-'Price x SAC x SACRE'!H305,IF('Base dinâmica'!$D$1="Price",-'Price x SAC x SACRE'!C305,IF('Base dinâmica'!$D$1="sacre",-'Price x SAC x SACRE'!M305,0)))</f>
        <v>-2283.4315498956903</v>
      </c>
      <c r="D306" s="70">
        <f>IF($D$1="SAC",-'Price x SAC x SACRE'!I305,IF('Base dinâmica'!$D$1="Price",-'Price x SAC x SACRE'!D305,IF('Base dinâmica'!$D$1="sacre",-'Price x SAC x SACRE'!N305,0)))</f>
        <v>-1817.4867244547481</v>
      </c>
      <c r="E306" s="70">
        <f>IF($D$1="SAC",-'Price x SAC x SACRE'!J305,IF('Base dinâmica'!$D$1="Price",-'Price x SAC x SACRE'!E305,IF('Base dinâmica'!$D$1="sacre",-'Price x SAC x SACRE'!O305,0)))</f>
        <v>-189256.91894407486</v>
      </c>
      <c r="F306" s="70">
        <f t="shared" si="119"/>
        <v>35367.09100275395</v>
      </c>
      <c r="G306" s="70">
        <f t="shared" si="120"/>
        <v>-1364.7010411824817</v>
      </c>
      <c r="H306" s="70">
        <v>0</v>
      </c>
      <c r="I306" s="70">
        <f t="shared" si="117"/>
        <v>34002.389961571469</v>
      </c>
      <c r="J306" s="123">
        <f t="shared" si="108"/>
        <v>4.0741237836483535E-3</v>
      </c>
      <c r="K306" s="123">
        <f t="shared" si="118"/>
        <v>4.573952771862122E-2</v>
      </c>
      <c r="L306" s="124">
        <f t="shared" si="107"/>
        <v>0.1075</v>
      </c>
      <c r="M306" s="125">
        <f>+Dashboard!$B$36</f>
        <v>1</v>
      </c>
      <c r="N306" s="160">
        <f t="shared" si="109"/>
        <v>8.5450710394860963E-3</v>
      </c>
      <c r="O306" s="70">
        <f t="shared" si="110"/>
        <v>14654909.076628776</v>
      </c>
    </row>
    <row r="307" spans="1:15" s="53" customFormat="1" x14ac:dyDescent="0.25">
      <c r="A307" s="68">
        <v>300</v>
      </c>
      <c r="B307" s="64">
        <f>IF($D$1="SAC",-'Price x SAC x SACRE'!G306,IF('Base dinâmica'!$D$1="Price",-'Price x SAC x SACRE'!B306,IF('Base dinâmica'!$D$1="sacre",-'Price x SAC x SACRE'!L306,0)))</f>
        <v>-4100.918274350438</v>
      </c>
      <c r="C307" s="64">
        <f>IF($D$1="SAC",-'Price x SAC x SACRE'!H306,IF('Base dinâmica'!$D$1="Price",-'Price x SAC x SACRE'!C306,IF('Base dinâmica'!$D$1="sacre",-'Price x SAC x SACRE'!M306,0)))</f>
        <v>-2305.0985590529444</v>
      </c>
      <c r="D307" s="64">
        <f>IF($D$1="SAC",-'Price x SAC x SACRE'!I306,IF('Base dinâmica'!$D$1="Price",-'Price x SAC x SACRE'!D306,IF('Base dinâmica'!$D$1="sacre",-'Price x SAC x SACRE'!N306,0)))</f>
        <v>-1795.8197152974938</v>
      </c>
      <c r="E307" s="64">
        <f>IF($D$1="SAC",-'Price x SAC x SACRE'!J306,IF('Base dinâmica'!$D$1="Price",-'Price x SAC x SACRE'!E306,IF('Base dinâmica'!$D$1="sacre",-'Price x SAC x SACRE'!O306,0)))</f>
        <v>-186951.82038502191</v>
      </c>
      <c r="F307" s="64">
        <f>+F306</f>
        <v>35367.09100275395</v>
      </c>
      <c r="G307" s="64">
        <f>+G306</f>
        <v>-1364.7010411824817</v>
      </c>
      <c r="H307" s="64">
        <v>0</v>
      </c>
      <c r="I307" s="64">
        <f t="shared" si="117"/>
        <v>34002.389961571469</v>
      </c>
      <c r="J307" s="119">
        <f t="shared" si="108"/>
        <v>4.0741237836483535E-3</v>
      </c>
      <c r="K307" s="119">
        <f t="shared" si="118"/>
        <v>5.0000000000000933E-2</v>
      </c>
      <c r="L307" s="120">
        <f t="shared" si="107"/>
        <v>0.1075</v>
      </c>
      <c r="M307" s="121">
        <f>+Dashboard!$B$36</f>
        <v>1</v>
      </c>
      <c r="N307" s="160">
        <f t="shared" si="109"/>
        <v>8.5450710394860963E-3</v>
      </c>
      <c r="O307" s="64">
        <f t="shared" si="110"/>
        <v>14810037.787453001</v>
      </c>
    </row>
    <row r="308" spans="1:15" outlineLevel="1" x14ac:dyDescent="0.25">
      <c r="A308" s="122">
        <v>301</v>
      </c>
      <c r="B308" s="70">
        <f>IF($D$1="SAC",-'Price x SAC x SACRE'!G307,IF('Base dinâmica'!$D$1="Price",-'Price x SAC x SACRE'!B307,IF('Base dinâmica'!$D$1="sacre",-'Price x SAC x SACRE'!L307,0)))</f>
        <v>-4100.918274350438</v>
      </c>
      <c r="C308" s="70">
        <f>IF($D$1="SAC",-'Price x SAC x SACRE'!H307,IF('Base dinâmica'!$D$1="Price",-'Price x SAC x SACRE'!C307,IF('Base dinâmica'!$D$1="sacre",-'Price x SAC x SACRE'!M307,0)))</f>
        <v>-2326.9711619736031</v>
      </c>
      <c r="D308" s="70">
        <f>IF($D$1="SAC",-'Price x SAC x SACRE'!I307,IF('Base dinâmica'!$D$1="Price",-'Price x SAC x SACRE'!D307,IF('Base dinâmica'!$D$1="sacre",-'Price x SAC x SACRE'!N307,0)))</f>
        <v>-1773.9471123768346</v>
      </c>
      <c r="E308" s="70">
        <f>IF($D$1="SAC",-'Price x SAC x SACRE'!J307,IF('Base dinâmica'!$D$1="Price",-'Price x SAC x SACRE'!E307,IF('Base dinâmica'!$D$1="sacre",-'Price x SAC x SACRE'!O307,0)))</f>
        <v>-184624.84922304831</v>
      </c>
      <c r="F308" s="70">
        <f>+F307*(1+K307)</f>
        <v>37135.445552891681</v>
      </c>
      <c r="G308" s="70">
        <f>+G307*(1+K307)</f>
        <v>-1432.9360932416071</v>
      </c>
      <c r="H308" s="70">
        <f>+H305*(1+K307)</f>
        <v>-848.7390706123366</v>
      </c>
      <c r="I308" s="70">
        <f t="shared" si="117"/>
        <v>34853.770389037738</v>
      </c>
      <c r="J308" s="123">
        <f t="shared" si="108"/>
        <v>4.0741237836483535E-3</v>
      </c>
      <c r="K308" s="123">
        <f>+J308</f>
        <v>4.0741237836483535E-3</v>
      </c>
      <c r="L308" s="124">
        <f t="shared" si="107"/>
        <v>0.1075</v>
      </c>
      <c r="M308" s="125">
        <f>+Dashboard!$B$36</f>
        <v>1</v>
      </c>
      <c r="N308" s="160">
        <f t="shared" si="109"/>
        <v>8.5450710394860963E-3</v>
      </c>
      <c r="O308" s="70">
        <f t="shared" si="110"/>
        <v>14967343.464558948</v>
      </c>
    </row>
    <row r="309" spans="1:15" outlineLevel="1" x14ac:dyDescent="0.25">
      <c r="A309" s="122">
        <v>302</v>
      </c>
      <c r="B309" s="70">
        <f>IF($D$1="SAC",-'Price x SAC x SACRE'!G308,IF('Base dinâmica'!$D$1="Price",-'Price x SAC x SACRE'!B308,IF('Base dinâmica'!$D$1="sacre",-'Price x SAC x SACRE'!L308,0)))</f>
        <v>-4100.918274350438</v>
      </c>
      <c r="C309" s="70">
        <f>IF($D$1="SAC",-'Price x SAC x SACRE'!H308,IF('Base dinâmica'!$D$1="Price",-'Price x SAC x SACRE'!C308,IF('Base dinâmica'!$D$1="sacre",-'Price x SAC x SACRE'!M308,0)))</f>
        <v>-2349.0513094943171</v>
      </c>
      <c r="D309" s="70">
        <f>IF($D$1="SAC",-'Price x SAC x SACRE'!I308,IF('Base dinâmica'!$D$1="Price",-'Price x SAC x SACRE'!D308,IF('Base dinâmica'!$D$1="sacre",-'Price x SAC x SACRE'!N308,0)))</f>
        <v>-1751.8669648561208</v>
      </c>
      <c r="E309" s="70">
        <f>IF($D$1="SAC",-'Price x SAC x SACRE'!J308,IF('Base dinâmica'!$D$1="Price",-'Price x SAC x SACRE'!E308,IF('Base dinâmica'!$D$1="sacre",-'Price x SAC x SACRE'!O308,0)))</f>
        <v>-182275.79791355398</v>
      </c>
      <c r="F309" s="70">
        <f>+F308</f>
        <v>37135.445552891681</v>
      </c>
      <c r="G309" s="70">
        <f>+G308</f>
        <v>-1432.9360932416071</v>
      </c>
      <c r="H309" s="70">
        <f>+H308</f>
        <v>-848.7390706123366</v>
      </c>
      <c r="I309" s="70">
        <f t="shared" si="117"/>
        <v>34853.770389037738</v>
      </c>
      <c r="J309" s="123">
        <f t="shared" si="108"/>
        <v>4.0741237836483535E-3</v>
      </c>
      <c r="K309" s="123">
        <f t="shared" si="118"/>
        <v>8.1648460519012644E-3</v>
      </c>
      <c r="L309" s="124">
        <f t="shared" si="107"/>
        <v>0.1075</v>
      </c>
      <c r="M309" s="125">
        <f>+Dashboard!$B$36</f>
        <v>1</v>
      </c>
      <c r="N309" s="160">
        <f t="shared" si="109"/>
        <v>8.5450710394860963E-3</v>
      </c>
      <c r="O309" s="70">
        <f t="shared" si="110"/>
        <v>15125993.329850679</v>
      </c>
    </row>
    <row r="310" spans="1:15" outlineLevel="1" x14ac:dyDescent="0.25">
      <c r="A310" s="122">
        <v>303</v>
      </c>
      <c r="B310" s="70">
        <f>IF($D$1="SAC",-'Price x SAC x SACRE'!G309,IF('Base dinâmica'!$D$1="Price",-'Price x SAC x SACRE'!B309,IF('Base dinâmica'!$D$1="sacre",-'Price x SAC x SACRE'!L309,0)))</f>
        <v>-4100.918274350438</v>
      </c>
      <c r="C310" s="70">
        <f>IF($D$1="SAC",-'Price x SAC x SACRE'!H309,IF('Base dinâmica'!$D$1="Price",-'Price x SAC x SACRE'!C309,IF('Base dinâmica'!$D$1="sacre",-'Price x SAC x SACRE'!M309,0)))</f>
        <v>-2371.3409709628199</v>
      </c>
      <c r="D310" s="70">
        <f>IF($D$1="SAC",-'Price x SAC x SACRE'!I309,IF('Base dinâmica'!$D$1="Price",-'Price x SAC x SACRE'!D309,IF('Base dinâmica'!$D$1="sacre",-'Price x SAC x SACRE'!N309,0)))</f>
        <v>-1729.577303387618</v>
      </c>
      <c r="E310" s="70">
        <f>IF($D$1="SAC",-'Price x SAC x SACRE'!J309,IF('Base dinâmica'!$D$1="Price",-'Price x SAC x SACRE'!E309,IF('Base dinâmica'!$D$1="sacre",-'Price x SAC x SACRE'!O309,0)))</f>
        <v>-179904.45694259115</v>
      </c>
      <c r="F310" s="70">
        <f t="shared" ref="F310:F318" si="122">+F309</f>
        <v>37135.445552891681</v>
      </c>
      <c r="G310" s="70">
        <f t="shared" ref="G310:G318" si="123">+G309</f>
        <v>-1432.9360932416071</v>
      </c>
      <c r="H310" s="70">
        <f t="shared" ref="H310:H317" si="124">+H309</f>
        <v>-848.7390706123366</v>
      </c>
      <c r="I310" s="70">
        <f t="shared" si="117"/>
        <v>34853.770389037738</v>
      </c>
      <c r="J310" s="123">
        <f t="shared" si="108"/>
        <v>4.0741237836483535E-3</v>
      </c>
      <c r="K310" s="123">
        <f t="shared" si="118"/>
        <v>1.2272234429039575E-2</v>
      </c>
      <c r="L310" s="124">
        <f t="shared" si="107"/>
        <v>0.1075</v>
      </c>
      <c r="M310" s="125">
        <f>+Dashboard!$B$36</f>
        <v>1</v>
      </c>
      <c r="N310" s="160">
        <f t="shared" si="109"/>
        <v>8.5450710394860963E-3</v>
      </c>
      <c r="O310" s="70">
        <f t="shared" si="110"/>
        <v>15285998.869511733</v>
      </c>
    </row>
    <row r="311" spans="1:15" outlineLevel="1" x14ac:dyDescent="0.25">
      <c r="A311" s="122">
        <v>304</v>
      </c>
      <c r="B311" s="70">
        <f>IF($D$1="SAC",-'Price x SAC x SACRE'!G310,IF('Base dinâmica'!$D$1="Price",-'Price x SAC x SACRE'!B310,IF('Base dinâmica'!$D$1="sacre",-'Price x SAC x SACRE'!L310,0)))</f>
        <v>-4100.918274350438</v>
      </c>
      <c r="C311" s="70">
        <f>IF($D$1="SAC",-'Price x SAC x SACRE'!H310,IF('Base dinâmica'!$D$1="Price",-'Price x SAC x SACRE'!C310,IF('Base dinâmica'!$D$1="sacre",-'Price x SAC x SACRE'!M310,0)))</f>
        <v>-2393.8421344135791</v>
      </c>
      <c r="D311" s="70">
        <f>IF($D$1="SAC",-'Price x SAC x SACRE'!I310,IF('Base dinâmica'!$D$1="Price",-'Price x SAC x SACRE'!D310,IF('Base dinâmica'!$D$1="sacre",-'Price x SAC x SACRE'!N310,0)))</f>
        <v>-1707.0761399368587</v>
      </c>
      <c r="E311" s="70">
        <f>IF($D$1="SAC",-'Price x SAC x SACRE'!J310,IF('Base dinâmica'!$D$1="Price",-'Price x SAC x SACRE'!E310,IF('Base dinâmica'!$D$1="sacre",-'Price x SAC x SACRE'!O310,0)))</f>
        <v>-177510.61480817758</v>
      </c>
      <c r="F311" s="70">
        <f t="shared" si="122"/>
        <v>37135.445552891681</v>
      </c>
      <c r="G311" s="70">
        <f t="shared" si="123"/>
        <v>-1432.9360932416071</v>
      </c>
      <c r="H311" s="70">
        <f t="shared" si="124"/>
        <v>-848.7390706123366</v>
      </c>
      <c r="I311" s="70">
        <f t="shared" si="117"/>
        <v>34853.770389037738</v>
      </c>
      <c r="J311" s="123">
        <f t="shared" si="108"/>
        <v>4.0741237836483535E-3</v>
      </c>
      <c r="K311" s="123">
        <f t="shared" si="118"/>
        <v>1.6396356814853741E-2</v>
      </c>
      <c r="L311" s="124">
        <f t="shared" si="107"/>
        <v>0.1075</v>
      </c>
      <c r="M311" s="125">
        <f>+Dashboard!$B$36</f>
        <v>1</v>
      </c>
      <c r="N311" s="160">
        <f t="shared" si="109"/>
        <v>8.5450710394860963E-3</v>
      </c>
      <c r="O311" s="70">
        <f t="shared" si="110"/>
        <v>15447371.667875901</v>
      </c>
    </row>
    <row r="312" spans="1:15" outlineLevel="1" x14ac:dyDescent="0.25">
      <c r="A312" s="122">
        <v>305</v>
      </c>
      <c r="B312" s="70">
        <f>IF($D$1="SAC",-'Price x SAC x SACRE'!G311,IF('Base dinâmica'!$D$1="Price",-'Price x SAC x SACRE'!B311,IF('Base dinâmica'!$D$1="sacre",-'Price x SAC x SACRE'!L311,0)))</f>
        <v>-4100.918274350438</v>
      </c>
      <c r="C312" s="70">
        <f>IF($D$1="SAC",-'Price x SAC x SACRE'!H311,IF('Base dinâmica'!$D$1="Price",-'Price x SAC x SACRE'!C311,IF('Base dinâmica'!$D$1="sacre",-'Price x SAC x SACRE'!M311,0)))</f>
        <v>-2416.55680674511</v>
      </c>
      <c r="D312" s="70">
        <f>IF($D$1="SAC",-'Price x SAC x SACRE'!I311,IF('Base dinâmica'!$D$1="Price",-'Price x SAC x SACRE'!D311,IF('Base dinâmica'!$D$1="sacre",-'Price x SAC x SACRE'!N311,0)))</f>
        <v>-1684.361467605328</v>
      </c>
      <c r="E312" s="70">
        <f>IF($D$1="SAC",-'Price x SAC x SACRE'!J311,IF('Base dinâmica'!$D$1="Price",-'Price x SAC x SACRE'!E311,IF('Base dinâmica'!$D$1="sacre",-'Price x SAC x SACRE'!O311,0)))</f>
        <v>-175094.05800143245</v>
      </c>
      <c r="F312" s="70">
        <f t="shared" si="122"/>
        <v>37135.445552891681</v>
      </c>
      <c r="G312" s="70">
        <f t="shared" si="123"/>
        <v>-1432.9360932416071</v>
      </c>
      <c r="H312" s="70">
        <f t="shared" si="124"/>
        <v>-848.7390706123366</v>
      </c>
      <c r="I312" s="70">
        <f t="shared" si="117"/>
        <v>34853.770389037738</v>
      </c>
      <c r="J312" s="123">
        <f t="shared" si="108"/>
        <v>4.0741237836483535E-3</v>
      </c>
      <c r="K312" s="123">
        <f t="shared" si="118"/>
        <v>2.0537281385766715E-2</v>
      </c>
      <c r="L312" s="124">
        <f t="shared" si="107"/>
        <v>0.1075</v>
      </c>
      <c r="M312" s="125">
        <f>+Dashboard!$B$36</f>
        <v>1</v>
      </c>
      <c r="N312" s="160">
        <f t="shared" si="109"/>
        <v>8.5450710394860963E-3</v>
      </c>
      <c r="O312" s="70">
        <f t="shared" si="110"/>
        <v>15610123.408265932</v>
      </c>
    </row>
    <row r="313" spans="1:15" outlineLevel="1" x14ac:dyDescent="0.25">
      <c r="A313" s="122">
        <v>306</v>
      </c>
      <c r="B313" s="70">
        <f>IF($D$1="SAC",-'Price x SAC x SACRE'!G312,IF('Base dinâmica'!$D$1="Price",-'Price x SAC x SACRE'!B312,IF('Base dinâmica'!$D$1="sacre",-'Price x SAC x SACRE'!L312,0)))</f>
        <v>-4100.9182743504371</v>
      </c>
      <c r="C313" s="70">
        <f>IF($D$1="SAC",-'Price x SAC x SACRE'!H312,IF('Base dinâmica'!$D$1="Price",-'Price x SAC x SACRE'!C312,IF('Base dinâmica'!$D$1="sacre",-'Price x SAC x SACRE'!M312,0)))</f>
        <v>-2439.4870138989709</v>
      </c>
      <c r="D313" s="70">
        <f>IF($D$1="SAC",-'Price x SAC x SACRE'!I312,IF('Base dinâmica'!$D$1="Price",-'Price x SAC x SACRE'!D312,IF('Base dinâmica'!$D$1="sacre",-'Price x SAC x SACRE'!N312,0)))</f>
        <v>-1661.4312604514662</v>
      </c>
      <c r="E313" s="70">
        <f>IF($D$1="SAC",-'Price x SAC x SACRE'!J312,IF('Base dinâmica'!$D$1="Price",-'Price x SAC x SACRE'!E312,IF('Base dinâmica'!$D$1="sacre",-'Price x SAC x SACRE'!O312,0)))</f>
        <v>-172654.57098753349</v>
      </c>
      <c r="F313" s="70">
        <f t="shared" si="122"/>
        <v>37135.445552891681</v>
      </c>
      <c r="G313" s="70">
        <f t="shared" si="123"/>
        <v>-1432.9360932416071</v>
      </c>
      <c r="H313" s="70">
        <f t="shared" si="124"/>
        <v>-848.7390706123366</v>
      </c>
      <c r="I313" s="70">
        <f t="shared" si="117"/>
        <v>34853.770389037738</v>
      </c>
      <c r="J313" s="123">
        <f t="shared" si="108"/>
        <v>4.0741237836483535E-3</v>
      </c>
      <c r="K313" s="123">
        <f t="shared" si="118"/>
        <v>2.4695076595960375E-2</v>
      </c>
      <c r="L313" s="124">
        <f t="shared" si="107"/>
        <v>0.1075</v>
      </c>
      <c r="M313" s="125">
        <f>+Dashboard!$B$36</f>
        <v>1</v>
      </c>
      <c r="N313" s="160">
        <f t="shared" si="109"/>
        <v>8.5450710394860963E-3</v>
      </c>
      <c r="O313" s="70">
        <f t="shared" si="110"/>
        <v>15774265.873839395</v>
      </c>
    </row>
    <row r="314" spans="1:15" outlineLevel="1" x14ac:dyDescent="0.25">
      <c r="A314" s="122">
        <v>307</v>
      </c>
      <c r="B314" s="70">
        <f>IF($D$1="SAC",-'Price x SAC x SACRE'!G313,IF('Base dinâmica'!$D$1="Price",-'Price x SAC x SACRE'!B313,IF('Base dinâmica'!$D$1="sacre",-'Price x SAC x SACRE'!L313,0)))</f>
        <v>-4100.918274350438</v>
      </c>
      <c r="C314" s="70">
        <f>IF($D$1="SAC",-'Price x SAC x SACRE'!H313,IF('Base dinâmica'!$D$1="Price",-'Price x SAC x SACRE'!C313,IF('Base dinâmica'!$D$1="sacre",-'Price x SAC x SACRE'!M313,0)))</f>
        <v>-2462.6348010404631</v>
      </c>
      <c r="D314" s="70">
        <f>IF($D$1="SAC",-'Price x SAC x SACRE'!I313,IF('Base dinâmica'!$D$1="Price",-'Price x SAC x SACRE'!D313,IF('Base dinâmica'!$D$1="sacre",-'Price x SAC x SACRE'!N313,0)))</f>
        <v>-1638.2834733099746</v>
      </c>
      <c r="E314" s="70">
        <f>IF($D$1="SAC",-'Price x SAC x SACRE'!J313,IF('Base dinâmica'!$D$1="Price",-'Price x SAC x SACRE'!E313,IF('Base dinâmica'!$D$1="sacre",-'Price x SAC x SACRE'!O313,0)))</f>
        <v>-170191.93618649303</v>
      </c>
      <c r="F314" s="70">
        <f t="shared" si="122"/>
        <v>37135.445552891681</v>
      </c>
      <c r="G314" s="70">
        <f t="shared" si="123"/>
        <v>-1432.9360932416071</v>
      </c>
      <c r="H314" s="70">
        <f t="shared" si="124"/>
        <v>-848.7390706123366</v>
      </c>
      <c r="I314" s="70">
        <f t="shared" si="117"/>
        <v>34853.770389037738</v>
      </c>
      <c r="J314" s="123">
        <f t="shared" si="108"/>
        <v>4.0741237836483535E-3</v>
      </c>
      <c r="K314" s="123">
        <f t="shared" si="118"/>
        <v>2.8869811178507288E-2</v>
      </c>
      <c r="L314" s="124">
        <f t="shared" si="107"/>
        <v>0.1075</v>
      </c>
      <c r="M314" s="125">
        <f>+Dashboard!$B$36</f>
        <v>1</v>
      </c>
      <c r="N314" s="160">
        <f t="shared" si="109"/>
        <v>8.5450710394860963E-3</v>
      </c>
      <c r="O314" s="70">
        <f t="shared" si="110"/>
        <v>15939810.948441781</v>
      </c>
    </row>
    <row r="315" spans="1:15" outlineLevel="1" x14ac:dyDescent="0.25">
      <c r="A315" s="122">
        <v>308</v>
      </c>
      <c r="B315" s="70">
        <f>IF($D$1="SAC",-'Price x SAC x SACRE'!G314,IF('Base dinâmica'!$D$1="Price",-'Price x SAC x SACRE'!B314,IF('Base dinâmica'!$D$1="sacre",-'Price x SAC x SACRE'!L314,0)))</f>
        <v>-4100.918274350438</v>
      </c>
      <c r="C315" s="70">
        <f>IF($D$1="SAC",-'Price x SAC x SACRE'!H314,IF('Base dinâmica'!$D$1="Price",-'Price x SAC x SACRE'!C314,IF('Base dinâmica'!$D$1="sacre",-'Price x SAC x SACRE'!M314,0)))</f>
        <v>-2486.0022327410343</v>
      </c>
      <c r="D315" s="70">
        <f>IF($D$1="SAC",-'Price x SAC x SACRE'!I314,IF('Base dinâmica'!$D$1="Price",-'Price x SAC x SACRE'!D314,IF('Base dinâmica'!$D$1="sacre",-'Price x SAC x SACRE'!N314,0)))</f>
        <v>-1614.9160416094037</v>
      </c>
      <c r="E315" s="70">
        <f>IF($D$1="SAC",-'Price x SAC x SACRE'!J314,IF('Base dinâmica'!$D$1="Price",-'Price x SAC x SACRE'!E314,IF('Base dinâmica'!$D$1="sacre",-'Price x SAC x SACRE'!O314,0)))</f>
        <v>-167705.93395375198</v>
      </c>
      <c r="F315" s="70">
        <f t="shared" si="122"/>
        <v>37135.445552891681</v>
      </c>
      <c r="G315" s="70">
        <f t="shared" si="123"/>
        <v>-1432.9360932416071</v>
      </c>
      <c r="H315" s="70">
        <f t="shared" si="124"/>
        <v>-848.7390706123366</v>
      </c>
      <c r="I315" s="70">
        <f t="shared" si="117"/>
        <v>34853.770389037738</v>
      </c>
      <c r="J315" s="123">
        <f t="shared" si="108"/>
        <v>4.0741237836483535E-3</v>
      </c>
      <c r="K315" s="123">
        <f t="shared" si="118"/>
        <v>3.3061554146507355E-2</v>
      </c>
      <c r="L315" s="124">
        <f t="shared" si="107"/>
        <v>0.1075</v>
      </c>
      <c r="M315" s="125">
        <f>+Dashboard!$B$36</f>
        <v>1</v>
      </c>
      <c r="N315" s="160">
        <f t="shared" si="109"/>
        <v>8.5450710394860963E-3</v>
      </c>
      <c r="O315" s="70">
        <f t="shared" si="110"/>
        <v>16106770.617466882</v>
      </c>
    </row>
    <row r="316" spans="1:15" outlineLevel="1" x14ac:dyDescent="0.25">
      <c r="A316" s="122">
        <v>309</v>
      </c>
      <c r="B316" s="70">
        <f>IF($D$1="SAC",-'Price x SAC x SACRE'!G315,IF('Base dinâmica'!$D$1="Price",-'Price x SAC x SACRE'!B315,IF('Base dinâmica'!$D$1="sacre",-'Price x SAC x SACRE'!L315,0)))</f>
        <v>-4100.918274350438</v>
      </c>
      <c r="C316" s="70">
        <f>IF($D$1="SAC",-'Price x SAC x SACRE'!H315,IF('Base dinâmica'!$D$1="Price",-'Price x SAC x SACRE'!C315,IF('Base dinâmica'!$D$1="sacre",-'Price x SAC x SACRE'!M315,0)))</f>
        <v>-2509.591393162425</v>
      </c>
      <c r="D316" s="70">
        <f>IF($D$1="SAC",-'Price x SAC x SACRE'!I315,IF('Base dinâmica'!$D$1="Price",-'Price x SAC x SACRE'!D315,IF('Base dinâmica'!$D$1="sacre",-'Price x SAC x SACRE'!N315,0)))</f>
        <v>-1591.3268811880127</v>
      </c>
      <c r="E316" s="70">
        <f>IF($D$1="SAC",-'Price x SAC x SACRE'!J315,IF('Base dinâmica'!$D$1="Price",-'Price x SAC x SACRE'!E315,IF('Base dinâmica'!$D$1="sacre",-'Price x SAC x SACRE'!O315,0)))</f>
        <v>-165196.34256058955</v>
      </c>
      <c r="F316" s="70">
        <f t="shared" si="122"/>
        <v>37135.445552891681</v>
      </c>
      <c r="G316" s="70">
        <f t="shared" si="123"/>
        <v>-1432.9360932416071</v>
      </c>
      <c r="H316" s="70">
        <f t="shared" si="124"/>
        <v>-848.7390706123366</v>
      </c>
      <c r="I316" s="70">
        <f t="shared" si="117"/>
        <v>34853.770389037738</v>
      </c>
      <c r="J316" s="123">
        <f t="shared" si="108"/>
        <v>4.0741237836483535E-3</v>
      </c>
      <c r="K316" s="123">
        <f t="shared" si="118"/>
        <v>3.7270374794228456E-2</v>
      </c>
      <c r="L316" s="124">
        <f t="shared" si="107"/>
        <v>0.1075</v>
      </c>
      <c r="M316" s="125">
        <f>+Dashboard!$B$36</f>
        <v>1</v>
      </c>
      <c r="N316" s="160">
        <f t="shared" si="109"/>
        <v>8.5450710394860963E-3</v>
      </c>
      <c r="O316" s="70">
        <f t="shared" si="110"/>
        <v>16275156.96872453</v>
      </c>
    </row>
    <row r="317" spans="1:15" outlineLevel="1" x14ac:dyDescent="0.25">
      <c r="A317" s="122">
        <v>310</v>
      </c>
      <c r="B317" s="70">
        <f>IF($D$1="SAC",-'Price x SAC x SACRE'!G316,IF('Base dinâmica'!$D$1="Price",-'Price x SAC x SACRE'!B316,IF('Base dinâmica'!$D$1="sacre",-'Price x SAC x SACRE'!L316,0)))</f>
        <v>-4100.9182743504371</v>
      </c>
      <c r="C317" s="70">
        <f>IF($D$1="SAC",-'Price x SAC x SACRE'!H316,IF('Base dinâmica'!$D$1="Price",-'Price x SAC x SACRE'!C316,IF('Base dinâmica'!$D$1="sacre",-'Price x SAC x SACRE'!M316,0)))</f>
        <v>-2533.4043862425547</v>
      </c>
      <c r="D317" s="70">
        <f>IF($D$1="SAC",-'Price x SAC x SACRE'!I316,IF('Base dinâmica'!$D$1="Price",-'Price x SAC x SACRE'!D316,IF('Base dinâmica'!$D$1="sacre",-'Price x SAC x SACRE'!N316,0)))</f>
        <v>-1567.5138881078826</v>
      </c>
      <c r="E317" s="70">
        <f>IF($D$1="SAC",-'Price x SAC x SACRE'!J316,IF('Base dinâmica'!$D$1="Price",-'Price x SAC x SACRE'!E316,IF('Base dinâmica'!$D$1="sacre",-'Price x SAC x SACRE'!O316,0)))</f>
        <v>-162662.93817434699</v>
      </c>
      <c r="F317" s="70">
        <f t="shared" si="122"/>
        <v>37135.445552891681</v>
      </c>
      <c r="G317" s="70">
        <f t="shared" si="123"/>
        <v>-1432.9360932416071</v>
      </c>
      <c r="H317" s="70">
        <f t="shared" si="124"/>
        <v>-848.7390706123366</v>
      </c>
      <c r="I317" s="70">
        <f t="shared" si="117"/>
        <v>34853.770389037738</v>
      </c>
      <c r="J317" s="123">
        <f t="shared" si="108"/>
        <v>4.0741237836483535E-3</v>
      </c>
      <c r="K317" s="123">
        <f t="shared" si="118"/>
        <v>4.1496342698251532E-2</v>
      </c>
      <c r="L317" s="124">
        <f t="shared" si="107"/>
        <v>0.1075</v>
      </c>
      <c r="M317" s="125">
        <f>+Dashboard!$B$36</f>
        <v>1</v>
      </c>
      <c r="N317" s="160">
        <f t="shared" si="109"/>
        <v>8.5450710394860963E-3</v>
      </c>
      <c r="O317" s="70">
        <f t="shared" si="110"/>
        <v>16444982.193315756</v>
      </c>
    </row>
    <row r="318" spans="1:15" outlineLevel="1" x14ac:dyDescent="0.25">
      <c r="A318" s="122">
        <v>311</v>
      </c>
      <c r="B318" s="70">
        <f>IF($D$1="SAC",-'Price x SAC x SACRE'!G317,IF('Base dinâmica'!$D$1="Price",-'Price x SAC x SACRE'!B317,IF('Base dinâmica'!$D$1="sacre",-'Price x SAC x SACRE'!L317,0)))</f>
        <v>-4100.918274350438</v>
      </c>
      <c r="C318" s="70">
        <f>IF($D$1="SAC",-'Price x SAC x SACRE'!H317,IF('Base dinâmica'!$D$1="Price",-'Price x SAC x SACRE'!C317,IF('Base dinâmica'!$D$1="sacre",-'Price x SAC x SACRE'!M317,0)))</f>
        <v>-2557.4433358831752</v>
      </c>
      <c r="D318" s="70">
        <f>IF($D$1="SAC",-'Price x SAC x SACRE'!I317,IF('Base dinâmica'!$D$1="Price",-'Price x SAC x SACRE'!D317,IF('Base dinâmica'!$D$1="sacre",-'Price x SAC x SACRE'!N317,0)))</f>
        <v>-1543.4749384672625</v>
      </c>
      <c r="E318" s="70">
        <f>IF($D$1="SAC",-'Price x SAC x SACRE'!J317,IF('Base dinâmica'!$D$1="Price",-'Price x SAC x SACRE'!E317,IF('Base dinâmica'!$D$1="sacre",-'Price x SAC x SACRE'!O317,0)))</f>
        <v>-160105.49483846381</v>
      </c>
      <c r="F318" s="70">
        <f t="shared" si="122"/>
        <v>37135.445552891681</v>
      </c>
      <c r="G318" s="70">
        <f t="shared" si="123"/>
        <v>-1432.9360932416071</v>
      </c>
      <c r="H318" s="70">
        <v>0</v>
      </c>
      <c r="I318" s="70">
        <f t="shared" si="117"/>
        <v>35702.509459650071</v>
      </c>
      <c r="J318" s="123">
        <f t="shared" si="108"/>
        <v>4.0741237836483535E-3</v>
      </c>
      <c r="K318" s="123">
        <f t="shared" si="118"/>
        <v>4.573952771862122E-2</v>
      </c>
      <c r="L318" s="124">
        <f t="shared" si="107"/>
        <v>0.1075</v>
      </c>
      <c r="M318" s="125">
        <f>+Dashboard!$B$36</f>
        <v>1</v>
      </c>
      <c r="N318" s="160">
        <f t="shared" si="109"/>
        <v>8.5450710394860963E-3</v>
      </c>
      <c r="O318" s="70">
        <f t="shared" si="110"/>
        <v>16617107.325586023</v>
      </c>
    </row>
    <row r="319" spans="1:15" s="53" customFormat="1" x14ac:dyDescent="0.25">
      <c r="A319" s="68">
        <v>312</v>
      </c>
      <c r="B319" s="64">
        <f>IF($D$1="SAC",-'Price x SAC x SACRE'!G318,IF('Base dinâmica'!$D$1="Price",-'Price x SAC x SACRE'!B318,IF('Base dinâmica'!$D$1="sacre",-'Price x SAC x SACRE'!L318,0)))</f>
        <v>-4100.9182743504371</v>
      </c>
      <c r="C319" s="64">
        <f>IF($D$1="SAC",-'Price x SAC x SACRE'!H318,IF('Base dinâmica'!$D$1="Price",-'Price x SAC x SACRE'!C318,IF('Base dinâmica'!$D$1="sacre",-'Price x SAC x SACRE'!M318,0)))</f>
        <v>-2581.7103861392998</v>
      </c>
      <c r="D319" s="64">
        <f>IF($D$1="SAC",-'Price x SAC x SACRE'!I318,IF('Base dinâmica'!$D$1="Price",-'Price x SAC x SACRE'!D318,IF('Base dinâmica'!$D$1="sacre",-'Price x SAC x SACRE'!N318,0)))</f>
        <v>-1519.2078882111377</v>
      </c>
      <c r="E319" s="64">
        <f>IF($D$1="SAC",-'Price x SAC x SACRE'!J318,IF('Base dinâmica'!$D$1="Price",-'Price x SAC x SACRE'!E318,IF('Base dinâmica'!$D$1="sacre",-'Price x SAC x SACRE'!O318,0)))</f>
        <v>-157523.7844523245</v>
      </c>
      <c r="F319" s="64">
        <f>+F318</f>
        <v>37135.445552891681</v>
      </c>
      <c r="G319" s="64">
        <f>+G318</f>
        <v>-1432.9360932416071</v>
      </c>
      <c r="H319" s="64">
        <v>0</v>
      </c>
      <c r="I319" s="64">
        <f t="shared" si="117"/>
        <v>35702.509459650071</v>
      </c>
      <c r="J319" s="119">
        <f t="shared" si="108"/>
        <v>4.0741237836483535E-3</v>
      </c>
      <c r="K319" s="119">
        <f t="shared" si="118"/>
        <v>5.0000000000000933E-2</v>
      </c>
      <c r="L319" s="120">
        <f t="shared" si="107"/>
        <v>0.1075</v>
      </c>
      <c r="M319" s="121">
        <f>+Dashboard!$B$36</f>
        <v>1</v>
      </c>
      <c r="N319" s="160">
        <f t="shared" si="109"/>
        <v>8.5450710394860963E-3</v>
      </c>
      <c r="O319" s="64">
        <f t="shared" si="110"/>
        <v>16790703.27933922</v>
      </c>
    </row>
    <row r="320" spans="1:15" outlineLevel="1" x14ac:dyDescent="0.25">
      <c r="A320" s="122">
        <v>313</v>
      </c>
      <c r="B320" s="70">
        <f>IF($D$1="SAC",-'Price x SAC x SACRE'!G319,IF('Base dinâmica'!$D$1="Price",-'Price x SAC x SACRE'!B319,IF('Base dinâmica'!$D$1="sacre",-'Price x SAC x SACRE'!L319,0)))</f>
        <v>-4100.9182743504371</v>
      </c>
      <c r="C320" s="70">
        <f>IF($D$1="SAC",-'Price x SAC x SACRE'!H319,IF('Base dinâmica'!$D$1="Price",-'Price x SAC x SACRE'!C319,IF('Base dinâmica'!$D$1="sacre",-'Price x SAC x SACRE'!M319,0)))</f>
        <v>-2606.2077014104375</v>
      </c>
      <c r="D320" s="70">
        <f>IF($D$1="SAC",-'Price x SAC x SACRE'!I319,IF('Base dinâmica'!$D$1="Price",-'Price x SAC x SACRE'!D319,IF('Base dinâmica'!$D$1="sacre",-'Price x SAC x SACRE'!N319,0)))</f>
        <v>-1494.7105729399993</v>
      </c>
      <c r="E320" s="70">
        <f>IF($D$1="SAC",-'Price x SAC x SACRE'!J319,IF('Base dinâmica'!$D$1="Price",-'Price x SAC x SACRE'!E319,IF('Base dinâmica'!$D$1="sacre",-'Price x SAC x SACRE'!O319,0)))</f>
        <v>-154917.57675091407</v>
      </c>
      <c r="F320" s="70">
        <f>+F319*(1+K319)</f>
        <v>38992.217830536298</v>
      </c>
      <c r="G320" s="70">
        <f>+G319*(1+K319)</f>
        <v>-1504.5828979036887</v>
      </c>
      <c r="H320" s="70">
        <f>+H317*(1+K319)</f>
        <v>-891.17602414295425</v>
      </c>
      <c r="I320" s="70">
        <f t="shared" si="117"/>
        <v>36596.458908489658</v>
      </c>
      <c r="J320" s="123">
        <f t="shared" si="108"/>
        <v>4.0741237836483535E-3</v>
      </c>
      <c r="K320" s="123">
        <f>+J320</f>
        <v>4.0741237836483535E-3</v>
      </c>
      <c r="L320" s="124">
        <f t="shared" si="107"/>
        <v>0.1075</v>
      </c>
      <c r="M320" s="125">
        <f>+Dashboard!$B$36</f>
        <v>1</v>
      </c>
      <c r="N320" s="160">
        <f t="shared" si="109"/>
        <v>8.5450710394860963E-3</v>
      </c>
      <c r="O320" s="70">
        <f t="shared" si="110"/>
        <v>16966676.572298247</v>
      </c>
    </row>
    <row r="321" spans="1:15" outlineLevel="1" x14ac:dyDescent="0.25">
      <c r="A321" s="122">
        <v>314</v>
      </c>
      <c r="B321" s="70">
        <f>IF($D$1="SAC",-'Price x SAC x SACRE'!G320,IF('Base dinâmica'!$D$1="Price",-'Price x SAC x SACRE'!B320,IF('Base dinâmica'!$D$1="sacre",-'Price x SAC x SACRE'!L320,0)))</f>
        <v>-4100.9182743504371</v>
      </c>
      <c r="C321" s="70">
        <f>IF($D$1="SAC",-'Price x SAC x SACRE'!H320,IF('Base dinâmica'!$D$1="Price",-'Price x SAC x SACRE'!C320,IF('Base dinâmica'!$D$1="sacre",-'Price x SAC x SACRE'!M320,0)))</f>
        <v>-2630.9374666336371</v>
      </c>
      <c r="D321" s="70">
        <f>IF($D$1="SAC",-'Price x SAC x SACRE'!I320,IF('Base dinâmica'!$D$1="Price",-'Price x SAC x SACRE'!D320,IF('Base dinâmica'!$D$1="sacre",-'Price x SAC x SACRE'!N320,0)))</f>
        <v>-1469.9808077168002</v>
      </c>
      <c r="E321" s="70">
        <f>IF($D$1="SAC",-'Price x SAC x SACRE'!J320,IF('Base dinâmica'!$D$1="Price",-'Price x SAC x SACRE'!E320,IF('Base dinâmica'!$D$1="sacre",-'Price x SAC x SACRE'!O320,0)))</f>
        <v>-152286.63928428042</v>
      </c>
      <c r="F321" s="70">
        <f>+F320</f>
        <v>38992.217830536298</v>
      </c>
      <c r="G321" s="70">
        <f>+G320</f>
        <v>-1504.5828979036887</v>
      </c>
      <c r="H321" s="70">
        <f>+H320</f>
        <v>-891.17602414295425</v>
      </c>
      <c r="I321" s="70">
        <f t="shared" si="117"/>
        <v>36596.458908489658</v>
      </c>
      <c r="J321" s="123">
        <f t="shared" si="108"/>
        <v>4.0741237836483535E-3</v>
      </c>
      <c r="K321" s="123">
        <f t="shared" si="118"/>
        <v>8.1648460519012644E-3</v>
      </c>
      <c r="L321" s="124">
        <f t="shared" si="107"/>
        <v>0.1075</v>
      </c>
      <c r="M321" s="125">
        <f>+Dashboard!$B$36</f>
        <v>1</v>
      </c>
      <c r="N321" s="160">
        <f t="shared" si="109"/>
        <v>8.5450710394860963E-3</v>
      </c>
      <c r="O321" s="70">
        <f t="shared" si="110"/>
        <v>17144153.569546662</v>
      </c>
    </row>
    <row r="322" spans="1:15" outlineLevel="1" x14ac:dyDescent="0.25">
      <c r="A322" s="122">
        <v>315</v>
      </c>
      <c r="B322" s="70">
        <f>IF($D$1="SAC",-'Price x SAC x SACRE'!G321,IF('Base dinâmica'!$D$1="Price",-'Price x SAC x SACRE'!B321,IF('Base dinâmica'!$D$1="sacre",-'Price x SAC x SACRE'!L321,0)))</f>
        <v>-4100.9182743504371</v>
      </c>
      <c r="C322" s="70">
        <f>IF($D$1="SAC",-'Price x SAC x SACRE'!H321,IF('Base dinâmica'!$D$1="Price",-'Price x SAC x SACRE'!C321,IF('Base dinâmica'!$D$1="sacre",-'Price x SAC x SACRE'!M321,0)))</f>
        <v>-2655.9018874783601</v>
      </c>
      <c r="D322" s="70">
        <f>IF($D$1="SAC",-'Price x SAC x SACRE'!I321,IF('Base dinâmica'!$D$1="Price",-'Price x SAC x SACRE'!D321,IF('Base dinâmica'!$D$1="sacre",-'Price x SAC x SACRE'!N321,0)))</f>
        <v>-1445.016386872077</v>
      </c>
      <c r="E322" s="70">
        <f>IF($D$1="SAC",-'Price x SAC x SACRE'!J321,IF('Base dinâmica'!$D$1="Price",-'Price x SAC x SACRE'!E321,IF('Base dinâmica'!$D$1="sacre",-'Price x SAC x SACRE'!O321,0)))</f>
        <v>-149630.73739680205</v>
      </c>
      <c r="F322" s="70">
        <f t="shared" ref="F322:F330" si="125">+F321</f>
        <v>38992.217830536298</v>
      </c>
      <c r="G322" s="70">
        <f t="shared" ref="G322:G330" si="126">+G321</f>
        <v>-1504.5828979036887</v>
      </c>
      <c r="H322" s="70">
        <f t="shared" ref="H322:H329" si="127">+H321</f>
        <v>-891.17602414295425</v>
      </c>
      <c r="I322" s="70">
        <f t="shared" si="117"/>
        <v>36596.458908489658</v>
      </c>
      <c r="J322" s="123">
        <f t="shared" si="108"/>
        <v>4.0741237836483535E-3</v>
      </c>
      <c r="K322" s="123">
        <f t="shared" si="118"/>
        <v>1.2272234429039575E-2</v>
      </c>
      <c r="L322" s="124">
        <f t="shared" si="107"/>
        <v>0.1075</v>
      </c>
      <c r="M322" s="125">
        <f>+Dashboard!$B$36</f>
        <v>1</v>
      </c>
      <c r="N322" s="160">
        <f t="shared" si="109"/>
        <v>8.5450710394860963E-3</v>
      </c>
      <c r="O322" s="70">
        <f t="shared" si="110"/>
        <v>17323147.120344438</v>
      </c>
    </row>
    <row r="323" spans="1:15" outlineLevel="1" x14ac:dyDescent="0.25">
      <c r="A323" s="122">
        <v>316</v>
      </c>
      <c r="B323" s="70">
        <f>IF($D$1="SAC",-'Price x SAC x SACRE'!G322,IF('Base dinâmica'!$D$1="Price",-'Price x SAC x SACRE'!B322,IF('Base dinâmica'!$D$1="sacre",-'Price x SAC x SACRE'!L322,0)))</f>
        <v>-4100.9182743504371</v>
      </c>
      <c r="C323" s="70">
        <f>IF($D$1="SAC",-'Price x SAC x SACRE'!H322,IF('Base dinâmica'!$D$1="Price",-'Price x SAC x SACRE'!C322,IF('Base dinâmica'!$D$1="sacre",-'Price x SAC x SACRE'!M322,0)))</f>
        <v>-2681.103190543211</v>
      </c>
      <c r="D323" s="70">
        <f>IF($D$1="SAC",-'Price x SAC x SACRE'!I322,IF('Base dinâmica'!$D$1="Price",-'Price x SAC x SACRE'!D322,IF('Base dinâmica'!$D$1="sacre",-'Price x SAC x SACRE'!N322,0)))</f>
        <v>-1419.8150838072265</v>
      </c>
      <c r="E323" s="70">
        <f>IF($D$1="SAC",-'Price x SAC x SACRE'!J322,IF('Base dinâmica'!$D$1="Price",-'Price x SAC x SACRE'!E322,IF('Base dinâmica'!$D$1="sacre",-'Price x SAC x SACRE'!O322,0)))</f>
        <v>-146949.63420625884</v>
      </c>
      <c r="F323" s="70">
        <f t="shared" si="125"/>
        <v>38992.217830536298</v>
      </c>
      <c r="G323" s="70">
        <f t="shared" si="126"/>
        <v>-1504.5828979036887</v>
      </c>
      <c r="H323" s="70">
        <f t="shared" si="127"/>
        <v>-891.17602414295425</v>
      </c>
      <c r="I323" s="70">
        <f t="shared" si="117"/>
        <v>36596.458908489658</v>
      </c>
      <c r="J323" s="123">
        <f t="shared" si="108"/>
        <v>4.0741237836483535E-3</v>
      </c>
      <c r="K323" s="123">
        <f t="shared" si="118"/>
        <v>1.6396356814853741E-2</v>
      </c>
      <c r="L323" s="124">
        <f t="shared" si="107"/>
        <v>0.1075</v>
      </c>
      <c r="M323" s="125">
        <f>+Dashboard!$B$36</f>
        <v>1</v>
      </c>
      <c r="N323" s="160">
        <f t="shared" si="109"/>
        <v>8.5450710394860963E-3</v>
      </c>
      <c r="O323" s="70">
        <f t="shared" si="110"/>
        <v>17503670.183749389</v>
      </c>
    </row>
    <row r="324" spans="1:15" outlineLevel="1" x14ac:dyDescent="0.25">
      <c r="A324" s="122">
        <v>317</v>
      </c>
      <c r="B324" s="70">
        <f>IF($D$1="SAC",-'Price x SAC x SACRE'!G323,IF('Base dinâmica'!$D$1="Price",-'Price x SAC x SACRE'!B323,IF('Base dinâmica'!$D$1="sacre",-'Price x SAC x SACRE'!L323,0)))</f>
        <v>-4100.9182743504371</v>
      </c>
      <c r="C324" s="70">
        <f>IF($D$1="SAC",-'Price x SAC x SACRE'!H323,IF('Base dinâmica'!$D$1="Price",-'Price x SAC x SACRE'!C323,IF('Base dinâmica'!$D$1="sacre",-'Price x SAC x SACRE'!M323,0)))</f>
        <v>-2706.5436235545253</v>
      </c>
      <c r="D324" s="70">
        <f>IF($D$1="SAC",-'Price x SAC x SACRE'!I323,IF('Base dinâmica'!$D$1="Price",-'Price x SAC x SACRE'!D323,IF('Base dinâmica'!$D$1="sacre",-'Price x SAC x SACRE'!N323,0)))</f>
        <v>-1394.374650795912</v>
      </c>
      <c r="E324" s="70">
        <f>IF($D$1="SAC",-'Price x SAC x SACRE'!J323,IF('Base dinâmica'!$D$1="Price",-'Price x SAC x SACRE'!E323,IF('Base dinâmica'!$D$1="sacre",-'Price x SAC x SACRE'!O323,0)))</f>
        <v>-144243.09058270432</v>
      </c>
      <c r="F324" s="70">
        <f t="shared" si="125"/>
        <v>38992.217830536298</v>
      </c>
      <c r="G324" s="70">
        <f t="shared" si="126"/>
        <v>-1504.5828979036887</v>
      </c>
      <c r="H324" s="70">
        <f t="shared" si="127"/>
        <v>-891.17602414295425</v>
      </c>
      <c r="I324" s="70">
        <f t="shared" si="117"/>
        <v>36596.458908489658</v>
      </c>
      <c r="J324" s="123">
        <f t="shared" si="108"/>
        <v>4.0741237836483535E-3</v>
      </c>
      <c r="K324" s="123">
        <f t="shared" si="118"/>
        <v>2.0537281385766715E-2</v>
      </c>
      <c r="L324" s="124">
        <f t="shared" si="107"/>
        <v>0.1075</v>
      </c>
      <c r="M324" s="125">
        <f>+Dashboard!$B$36</f>
        <v>1</v>
      </c>
      <c r="N324" s="160">
        <f t="shared" si="109"/>
        <v>8.5450710394860963E-3</v>
      </c>
      <c r="O324" s="70">
        <f t="shared" si="110"/>
        <v>17685735.829555403</v>
      </c>
    </row>
    <row r="325" spans="1:15" outlineLevel="1" x14ac:dyDescent="0.25">
      <c r="A325" s="122">
        <v>318</v>
      </c>
      <c r="B325" s="70">
        <f>IF($D$1="SAC",-'Price x SAC x SACRE'!G324,IF('Base dinâmica'!$D$1="Price",-'Price x SAC x SACRE'!B324,IF('Base dinâmica'!$D$1="sacre",-'Price x SAC x SACRE'!L324,0)))</f>
        <v>-4100.9182743504371</v>
      </c>
      <c r="C325" s="70">
        <f>IF($D$1="SAC",-'Price x SAC x SACRE'!H324,IF('Base dinâmica'!$D$1="Price",-'Price x SAC x SACRE'!C324,IF('Base dinâmica'!$D$1="sacre",-'Price x SAC x SACRE'!M324,0)))</f>
        <v>-2732.2254555668505</v>
      </c>
      <c r="D325" s="70">
        <f>IF($D$1="SAC",-'Price x SAC x SACRE'!I324,IF('Base dinâmica'!$D$1="Price",-'Price x SAC x SACRE'!D324,IF('Base dinâmica'!$D$1="sacre",-'Price x SAC x SACRE'!N324,0)))</f>
        <v>-1368.692818783587</v>
      </c>
      <c r="E325" s="70">
        <f>IF($D$1="SAC",-'Price x SAC x SACRE'!J324,IF('Base dinâmica'!$D$1="Price",-'Price x SAC x SACRE'!E324,IF('Base dinâmica'!$D$1="sacre",-'Price x SAC x SACRE'!O324,0)))</f>
        <v>-141510.86512713745</v>
      </c>
      <c r="F325" s="70">
        <f t="shared" si="125"/>
        <v>38992.217830536298</v>
      </c>
      <c r="G325" s="70">
        <f t="shared" si="126"/>
        <v>-1504.5828979036887</v>
      </c>
      <c r="H325" s="70">
        <f t="shared" si="127"/>
        <v>-891.17602414295425</v>
      </c>
      <c r="I325" s="70">
        <f t="shared" si="117"/>
        <v>36596.458908489658</v>
      </c>
      <c r="J325" s="123">
        <f t="shared" si="108"/>
        <v>4.0741237836483535E-3</v>
      </c>
      <c r="K325" s="123">
        <f t="shared" si="118"/>
        <v>2.4695076595960375E-2</v>
      </c>
      <c r="L325" s="124">
        <f t="shared" si="107"/>
        <v>0.1075</v>
      </c>
      <c r="M325" s="125">
        <f>+Dashboard!$B$36</f>
        <v>1</v>
      </c>
      <c r="N325" s="160">
        <f t="shared" si="109"/>
        <v>8.5450710394860963E-3</v>
      </c>
      <c r="O325" s="70">
        <f t="shared" si="110"/>
        <v>17869357.239238679</v>
      </c>
    </row>
    <row r="326" spans="1:15" outlineLevel="1" x14ac:dyDescent="0.25">
      <c r="A326" s="122">
        <v>319</v>
      </c>
      <c r="B326" s="70">
        <f>IF($D$1="SAC",-'Price x SAC x SACRE'!G325,IF('Base dinâmica'!$D$1="Price",-'Price x SAC x SACRE'!B325,IF('Base dinâmica'!$D$1="sacre",-'Price x SAC x SACRE'!L325,0)))</f>
        <v>-4100.9182743504371</v>
      </c>
      <c r="C326" s="70">
        <f>IF($D$1="SAC",-'Price x SAC x SACRE'!H325,IF('Base dinâmica'!$D$1="Price",-'Price x SAC x SACRE'!C325,IF('Base dinâmica'!$D$1="sacre",-'Price x SAC x SACRE'!M325,0)))</f>
        <v>-2758.1509771653209</v>
      </c>
      <c r="D326" s="70">
        <f>IF($D$1="SAC",-'Price x SAC x SACRE'!I325,IF('Base dinâmica'!$D$1="Price",-'Price x SAC x SACRE'!D325,IF('Base dinâmica'!$D$1="sacre",-'Price x SAC x SACRE'!N325,0)))</f>
        <v>-1342.7672971851161</v>
      </c>
      <c r="E326" s="70">
        <f>IF($D$1="SAC",-'Price x SAC x SACRE'!J325,IF('Base dinâmica'!$D$1="Price",-'Price x SAC x SACRE'!E325,IF('Base dinâmica'!$D$1="sacre",-'Price x SAC x SACRE'!O325,0)))</f>
        <v>-138752.71414997213</v>
      </c>
      <c r="F326" s="70">
        <f t="shared" si="125"/>
        <v>38992.217830536298</v>
      </c>
      <c r="G326" s="70">
        <f t="shared" si="126"/>
        <v>-1504.5828979036887</v>
      </c>
      <c r="H326" s="70">
        <f t="shared" si="127"/>
        <v>-891.17602414295425</v>
      </c>
      <c r="I326" s="70">
        <f t="shared" si="117"/>
        <v>36596.458908489658</v>
      </c>
      <c r="J326" s="123">
        <f t="shared" si="108"/>
        <v>4.0741237836483535E-3</v>
      </c>
      <c r="K326" s="123">
        <f t="shared" si="118"/>
        <v>2.8869811178507288E-2</v>
      </c>
      <c r="L326" s="124">
        <f t="shared" si="107"/>
        <v>0.1075</v>
      </c>
      <c r="M326" s="125">
        <f>+Dashboard!$B$36</f>
        <v>1</v>
      </c>
      <c r="N326" s="160">
        <f t="shared" si="109"/>
        <v>8.5450710394860963E-3</v>
      </c>
      <c r="O326" s="70">
        <f t="shared" si="110"/>
        <v>18054547.706912071</v>
      </c>
    </row>
    <row r="327" spans="1:15" outlineLevel="1" x14ac:dyDescent="0.25">
      <c r="A327" s="122">
        <v>320</v>
      </c>
      <c r="B327" s="70">
        <f>IF($D$1="SAC",-'Price x SAC x SACRE'!G326,IF('Base dinâmica'!$D$1="Price",-'Price x SAC x SACRE'!B326,IF('Base dinâmica'!$D$1="sacre",-'Price x SAC x SACRE'!L326,0)))</f>
        <v>-4100.9182743504371</v>
      </c>
      <c r="C327" s="70">
        <f>IF($D$1="SAC",-'Price x SAC x SACRE'!H326,IF('Base dinâmica'!$D$1="Price",-'Price x SAC x SACRE'!C326,IF('Base dinâmica'!$D$1="sacre",-'Price x SAC x SACRE'!M326,0)))</f>
        <v>-2784.3225006699604</v>
      </c>
      <c r="D327" s="70">
        <f>IF($D$1="SAC",-'Price x SAC x SACRE'!I326,IF('Base dinâmica'!$D$1="Price",-'Price x SAC x SACRE'!D326,IF('Base dinâmica'!$D$1="sacre",-'Price x SAC x SACRE'!N326,0)))</f>
        <v>-1316.5957736804767</v>
      </c>
      <c r="E327" s="70">
        <f>IF($D$1="SAC",-'Price x SAC x SACRE'!J326,IF('Base dinâmica'!$D$1="Price",-'Price x SAC x SACRE'!E326,IF('Base dinâmica'!$D$1="sacre",-'Price x SAC x SACRE'!O326,0)))</f>
        <v>-135968.39164930218</v>
      </c>
      <c r="F327" s="70">
        <f t="shared" si="125"/>
        <v>38992.217830536298</v>
      </c>
      <c r="G327" s="70">
        <f t="shared" si="126"/>
        <v>-1504.5828979036887</v>
      </c>
      <c r="H327" s="70">
        <f t="shared" si="127"/>
        <v>-891.17602414295425</v>
      </c>
      <c r="I327" s="70">
        <f t="shared" si="117"/>
        <v>36596.458908489658</v>
      </c>
      <c r="J327" s="123">
        <f t="shared" si="108"/>
        <v>4.0741237836483535E-3</v>
      </c>
      <c r="K327" s="123">
        <f t="shared" si="118"/>
        <v>3.3061554146507355E-2</v>
      </c>
      <c r="L327" s="124">
        <f t="shared" si="107"/>
        <v>0.1075</v>
      </c>
      <c r="M327" s="125">
        <f>+Dashboard!$B$36</f>
        <v>1</v>
      </c>
      <c r="N327" s="160">
        <f t="shared" si="109"/>
        <v>8.5450710394860963E-3</v>
      </c>
      <c r="O327" s="70">
        <f t="shared" si="110"/>
        <v>18241320.640287567</v>
      </c>
    </row>
    <row r="328" spans="1:15" outlineLevel="1" x14ac:dyDescent="0.25">
      <c r="A328" s="122">
        <v>321</v>
      </c>
      <c r="B328" s="70">
        <f>IF($D$1="SAC",-'Price x SAC x SACRE'!G327,IF('Base dinâmica'!$D$1="Price",-'Price x SAC x SACRE'!B327,IF('Base dinâmica'!$D$1="sacre",-'Price x SAC x SACRE'!L327,0)))</f>
        <v>-4100.9182743504371</v>
      </c>
      <c r="C328" s="70">
        <f>IF($D$1="SAC",-'Price x SAC x SACRE'!H327,IF('Base dinâmica'!$D$1="Price",-'Price x SAC x SACRE'!C327,IF('Base dinâmica'!$D$1="sacre",-'Price x SAC x SACRE'!M327,0)))</f>
        <v>-2810.7423603419184</v>
      </c>
      <c r="D328" s="70">
        <f>IF($D$1="SAC",-'Price x SAC x SACRE'!I327,IF('Base dinâmica'!$D$1="Price",-'Price x SAC x SACRE'!D327,IF('Base dinâmica'!$D$1="sacre",-'Price x SAC x SACRE'!N327,0)))</f>
        <v>-1290.1759140085189</v>
      </c>
      <c r="E328" s="70">
        <f>IF($D$1="SAC",-'Price x SAC x SACRE'!J327,IF('Base dinâmica'!$D$1="Price",-'Price x SAC x SACRE'!E327,IF('Base dinâmica'!$D$1="sacre",-'Price x SAC x SACRE'!O327,0)))</f>
        <v>-133157.64928896027</v>
      </c>
      <c r="F328" s="70">
        <f t="shared" si="125"/>
        <v>38992.217830536298</v>
      </c>
      <c r="G328" s="70">
        <f t="shared" si="126"/>
        <v>-1504.5828979036887</v>
      </c>
      <c r="H328" s="70">
        <f t="shared" si="127"/>
        <v>-891.17602414295425</v>
      </c>
      <c r="I328" s="70">
        <f t="shared" si="117"/>
        <v>36596.458908489658</v>
      </c>
      <c r="J328" s="123">
        <f t="shared" si="108"/>
        <v>4.0741237836483535E-3</v>
      </c>
      <c r="K328" s="123">
        <f t="shared" si="118"/>
        <v>3.7270374794228456E-2</v>
      </c>
      <c r="L328" s="124">
        <f t="shared" ref="L328:L367" si="128">+$N$2</f>
        <v>0.1075</v>
      </c>
      <c r="M328" s="125">
        <f>+Dashboard!$B$36</f>
        <v>1</v>
      </c>
      <c r="N328" s="160">
        <f t="shared" si="109"/>
        <v>8.5450710394860963E-3</v>
      </c>
      <c r="O328" s="70">
        <f t="shared" si="110"/>
        <v>18429689.561647009</v>
      </c>
    </row>
    <row r="329" spans="1:15" outlineLevel="1" x14ac:dyDescent="0.25">
      <c r="A329" s="122">
        <v>322</v>
      </c>
      <c r="B329" s="70">
        <f>IF($D$1="SAC",-'Price x SAC x SACRE'!G328,IF('Base dinâmica'!$D$1="Price",-'Price x SAC x SACRE'!B328,IF('Base dinâmica'!$D$1="sacre",-'Price x SAC x SACRE'!L328,0)))</f>
        <v>-4100.9182743504371</v>
      </c>
      <c r="C329" s="70">
        <f>IF($D$1="SAC",-'Price x SAC x SACRE'!H328,IF('Base dinâmica'!$D$1="Price",-'Price x SAC x SACRE'!C328,IF('Base dinâmica'!$D$1="sacre",-'Price x SAC x SACRE'!M328,0)))</f>
        <v>-2837.4129125916643</v>
      </c>
      <c r="D329" s="70">
        <f>IF($D$1="SAC",-'Price x SAC x SACRE'!I328,IF('Base dinâmica'!$D$1="Price",-'Price x SAC x SACRE'!D328,IF('Base dinâmica'!$D$1="sacre",-'Price x SAC x SACRE'!N328,0)))</f>
        <v>-1263.5053617587732</v>
      </c>
      <c r="E329" s="70">
        <f>IF($D$1="SAC",-'Price x SAC x SACRE'!J328,IF('Base dinâmica'!$D$1="Price",-'Price x SAC x SACRE'!E328,IF('Base dinâmica'!$D$1="sacre",-'Price x SAC x SACRE'!O328,0)))</f>
        <v>-130320.2363763686</v>
      </c>
      <c r="F329" s="70">
        <f t="shared" si="125"/>
        <v>38992.217830536298</v>
      </c>
      <c r="G329" s="70">
        <f t="shared" si="126"/>
        <v>-1504.5828979036887</v>
      </c>
      <c r="H329" s="70">
        <f t="shared" si="127"/>
        <v>-891.17602414295425</v>
      </c>
      <c r="I329" s="70">
        <f t="shared" si="117"/>
        <v>36596.458908489658</v>
      </c>
      <c r="J329" s="123">
        <f t="shared" ref="J329:J367" si="129">+$L$3</f>
        <v>4.0741237836483535E-3</v>
      </c>
      <c r="K329" s="123">
        <f t="shared" si="118"/>
        <v>4.1496342698251532E-2</v>
      </c>
      <c r="L329" s="124">
        <f t="shared" si="128"/>
        <v>0.1075</v>
      </c>
      <c r="M329" s="125">
        <f>+Dashboard!$B$36</f>
        <v>1</v>
      </c>
      <c r="N329" s="160">
        <f t="shared" ref="N329:N367" si="130">((((1+L329)^(1/12))-1)*M329)</f>
        <v>8.5450710394860963E-3</v>
      </c>
      <c r="O329" s="70">
        <f t="shared" si="110"/>
        <v>18619668.108821098</v>
      </c>
    </row>
    <row r="330" spans="1:15" outlineLevel="1" x14ac:dyDescent="0.25">
      <c r="A330" s="122">
        <v>323</v>
      </c>
      <c r="B330" s="70">
        <f>IF($D$1="SAC",-'Price x SAC x SACRE'!G329,IF('Base dinâmica'!$D$1="Price",-'Price x SAC x SACRE'!B329,IF('Base dinâmica'!$D$1="sacre",-'Price x SAC x SACRE'!L329,0)))</f>
        <v>-4100.9182743504371</v>
      </c>
      <c r="C330" s="70">
        <f>IF($D$1="SAC",-'Price x SAC x SACRE'!H329,IF('Base dinâmica'!$D$1="Price",-'Price x SAC x SACRE'!C329,IF('Base dinâmica'!$D$1="sacre",-'Price x SAC x SACRE'!M329,0)))</f>
        <v>-2864.3365361891579</v>
      </c>
      <c r="D330" s="70">
        <f>IF($D$1="SAC",-'Price x SAC x SACRE'!I329,IF('Base dinâmica'!$D$1="Price",-'Price x SAC x SACRE'!D329,IF('Base dinâmica'!$D$1="sacre",-'Price x SAC x SACRE'!N329,0)))</f>
        <v>-1236.5817381612787</v>
      </c>
      <c r="E330" s="70">
        <f>IF($D$1="SAC",-'Price x SAC x SACRE'!J329,IF('Base dinâmica'!$D$1="Price",-'Price x SAC x SACRE'!E329,IF('Base dinâmica'!$D$1="sacre",-'Price x SAC x SACRE'!O329,0)))</f>
        <v>-127455.89984017944</v>
      </c>
      <c r="F330" s="70">
        <f t="shared" si="125"/>
        <v>38992.217830536298</v>
      </c>
      <c r="G330" s="70">
        <f t="shared" si="126"/>
        <v>-1504.5828979036887</v>
      </c>
      <c r="H330" s="70">
        <v>0</v>
      </c>
      <c r="I330" s="70">
        <f t="shared" si="117"/>
        <v>37487.634932632609</v>
      </c>
      <c r="J330" s="123">
        <f t="shared" si="129"/>
        <v>4.0741237836483535E-3</v>
      </c>
      <c r="K330" s="123">
        <f t="shared" si="118"/>
        <v>4.573952771862122E-2</v>
      </c>
      <c r="L330" s="124">
        <f t="shared" si="128"/>
        <v>0.1075</v>
      </c>
      <c r="M330" s="125">
        <f>+Dashboard!$B$36</f>
        <v>1</v>
      </c>
      <c r="N330" s="160">
        <f t="shared" si="130"/>
        <v>8.5450710394860963E-3</v>
      </c>
      <c r="O330" s="70">
        <f t="shared" ref="O330:O367" si="131">IF(O329&lt;=0,+I330+B330+O329,(+O329)*(((((1+L330)^(1/12))-1)*(M330))+1)+I330+B330)</f>
        <v>18812161.21220091</v>
      </c>
    </row>
    <row r="331" spans="1:15" s="53" customFormat="1" x14ac:dyDescent="0.25">
      <c r="A331" s="68">
        <v>324</v>
      </c>
      <c r="B331" s="64">
        <f>IF($D$1="SAC",-'Price x SAC x SACRE'!G330,IF('Base dinâmica'!$D$1="Price",-'Price x SAC x SACRE'!B330,IF('Base dinâmica'!$D$1="sacre",-'Price x SAC x SACRE'!L330,0)))</f>
        <v>-4100.9182743504371</v>
      </c>
      <c r="C331" s="64">
        <f>IF($D$1="SAC",-'Price x SAC x SACRE'!H330,IF('Base dinâmica'!$D$1="Price",-'Price x SAC x SACRE'!C330,IF('Base dinâmica'!$D$1="sacre",-'Price x SAC x SACRE'!M330,0)))</f>
        <v>-2891.5156324760183</v>
      </c>
      <c r="D331" s="64">
        <f>IF($D$1="SAC",-'Price x SAC x SACRE'!I330,IF('Base dinâmica'!$D$1="Price",-'Price x SAC x SACRE'!D330,IF('Base dinâmica'!$D$1="sacre",-'Price x SAC x SACRE'!N330,0)))</f>
        <v>-1209.402641874419</v>
      </c>
      <c r="E331" s="64">
        <f>IF($D$1="SAC",-'Price x SAC x SACRE'!J330,IF('Base dinâmica'!$D$1="Price",-'Price x SAC x SACRE'!E330,IF('Base dinâmica'!$D$1="sacre",-'Price x SAC x SACRE'!O330,0)))</f>
        <v>-124564.38420770342</v>
      </c>
      <c r="F331" s="64">
        <f>+F330</f>
        <v>38992.217830536298</v>
      </c>
      <c r="G331" s="64">
        <f>+G330</f>
        <v>-1504.5828979036887</v>
      </c>
      <c r="H331" s="64">
        <v>0</v>
      </c>
      <c r="I331" s="64">
        <f t="shared" si="117"/>
        <v>37487.634932632609</v>
      </c>
      <c r="J331" s="119">
        <f t="shared" si="129"/>
        <v>4.0741237836483535E-3</v>
      </c>
      <c r="K331" s="119">
        <f t="shared" si="118"/>
        <v>5.0000000000000933E-2</v>
      </c>
      <c r="L331" s="120">
        <f t="shared" si="128"/>
        <v>0.1075</v>
      </c>
      <c r="M331" s="121">
        <f>+Dashboard!$B$36</f>
        <v>1</v>
      </c>
      <c r="N331" s="160">
        <f t="shared" si="130"/>
        <v>8.5450710394860963E-3</v>
      </c>
      <c r="O331" s="64">
        <f t="shared" si="131"/>
        <v>19006299.182823714</v>
      </c>
    </row>
    <row r="332" spans="1:15" outlineLevel="1" x14ac:dyDescent="0.25">
      <c r="A332" s="122">
        <v>325</v>
      </c>
      <c r="B332" s="70">
        <f>IF($D$1="SAC",-'Price x SAC x SACRE'!G331,IF('Base dinâmica'!$D$1="Price",-'Price x SAC x SACRE'!B331,IF('Base dinâmica'!$D$1="sacre",-'Price x SAC x SACRE'!L331,0)))</f>
        <v>-4100.9182743504371</v>
      </c>
      <c r="C332" s="70">
        <f>IF($D$1="SAC",-'Price x SAC x SACRE'!H331,IF('Base dinâmica'!$D$1="Price",-'Price x SAC x SACRE'!C331,IF('Base dinâmica'!$D$1="sacre",-'Price x SAC x SACRE'!M331,0)))</f>
        <v>-2918.9526255796932</v>
      </c>
      <c r="D332" s="70">
        <f>IF($D$1="SAC",-'Price x SAC x SACRE'!I331,IF('Base dinâmica'!$D$1="Price",-'Price x SAC x SACRE'!D331,IF('Base dinâmica'!$D$1="sacre",-'Price x SAC x SACRE'!N331,0)))</f>
        <v>-1181.9656487707441</v>
      </c>
      <c r="E332" s="70">
        <f>IF($D$1="SAC",-'Price x SAC x SACRE'!J331,IF('Base dinâmica'!$D$1="Price",-'Price x SAC x SACRE'!E331,IF('Base dinâmica'!$D$1="sacre",-'Price x SAC x SACRE'!O331,0)))</f>
        <v>-121645.43158212373</v>
      </c>
      <c r="F332" s="70">
        <f>+F331*(1+K331)</f>
        <v>40941.828722063146</v>
      </c>
      <c r="G332" s="70">
        <f>+G331*(1+K331)</f>
        <v>-1579.8120427988745</v>
      </c>
      <c r="H332" s="70">
        <f>+H329*(1+K331)</f>
        <v>-935.73482535010282</v>
      </c>
      <c r="I332" s="70">
        <f t="shared" si="117"/>
        <v>38426.281853914166</v>
      </c>
      <c r="J332" s="123">
        <f t="shared" si="129"/>
        <v>4.0741237836483535E-3</v>
      </c>
      <c r="K332" s="123">
        <f>+J332</f>
        <v>4.0741237836483535E-3</v>
      </c>
      <c r="L332" s="124">
        <f t="shared" si="128"/>
        <v>0.1075</v>
      </c>
      <c r="M332" s="125">
        <f>+Dashboard!$B$36</f>
        <v>1</v>
      </c>
      <c r="N332" s="160">
        <f t="shared" si="130"/>
        <v>8.5450710394860963E-3</v>
      </c>
      <c r="O332" s="70">
        <f t="shared" si="131"/>
        <v>19203034.723118234</v>
      </c>
    </row>
    <row r="333" spans="1:15" outlineLevel="1" x14ac:dyDescent="0.25">
      <c r="A333" s="122">
        <v>326</v>
      </c>
      <c r="B333" s="70">
        <f>IF($D$1="SAC",-'Price x SAC x SACRE'!G332,IF('Base dinâmica'!$D$1="Price",-'Price x SAC x SACRE'!B332,IF('Base dinâmica'!$D$1="sacre",-'Price x SAC x SACRE'!L332,0)))</f>
        <v>-4100.9182743504371</v>
      </c>
      <c r="C333" s="70">
        <f>IF($D$1="SAC",-'Price x SAC x SACRE'!H332,IF('Base dinâmica'!$D$1="Price",-'Price x SAC x SACRE'!C332,IF('Base dinâmica'!$D$1="sacre",-'Price x SAC x SACRE'!M332,0)))</f>
        <v>-2946.6499626296759</v>
      </c>
      <c r="D333" s="70">
        <f>IF($D$1="SAC",-'Price x SAC x SACRE'!I332,IF('Base dinâmica'!$D$1="Price",-'Price x SAC x SACRE'!D332,IF('Base dinâmica'!$D$1="sacre",-'Price x SAC x SACRE'!N332,0)))</f>
        <v>-1154.2683117207609</v>
      </c>
      <c r="E333" s="70">
        <f>IF($D$1="SAC",-'Price x SAC x SACRE'!J332,IF('Base dinâmica'!$D$1="Price",-'Price x SAC x SACRE'!E332,IF('Base dinâmica'!$D$1="sacre",-'Price x SAC x SACRE'!O332,0)))</f>
        <v>-118698.78161949405</v>
      </c>
      <c r="F333" s="70">
        <f>+F332</f>
        <v>40941.828722063146</v>
      </c>
      <c r="G333" s="70">
        <f>+G332</f>
        <v>-1579.8120427988745</v>
      </c>
      <c r="H333" s="70">
        <f>+H332</f>
        <v>-935.73482535010282</v>
      </c>
      <c r="I333" s="70">
        <f t="shared" si="117"/>
        <v>38426.281853914166</v>
      </c>
      <c r="J333" s="123">
        <f t="shared" si="129"/>
        <v>4.0741237836483535E-3</v>
      </c>
      <c r="K333" s="123">
        <f t="shared" si="118"/>
        <v>8.1648460519012644E-3</v>
      </c>
      <c r="L333" s="124">
        <f t="shared" si="128"/>
        <v>0.1075</v>
      </c>
      <c r="M333" s="125">
        <f>+Dashboard!$B$36</f>
        <v>1</v>
      </c>
      <c r="N333" s="160">
        <f t="shared" si="130"/>
        <v>8.5450710394860963E-3</v>
      </c>
      <c r="O333" s="70">
        <f t="shared" si="131"/>
        <v>19401451.382580563</v>
      </c>
    </row>
    <row r="334" spans="1:15" outlineLevel="1" x14ac:dyDescent="0.25">
      <c r="A334" s="122">
        <v>327</v>
      </c>
      <c r="B334" s="70">
        <f>IF($D$1="SAC",-'Price x SAC x SACRE'!G333,IF('Base dinâmica'!$D$1="Price",-'Price x SAC x SACRE'!B333,IF('Base dinâmica'!$D$1="sacre",-'Price x SAC x SACRE'!L333,0)))</f>
        <v>-4100.9182743504371</v>
      </c>
      <c r="C334" s="70">
        <f>IF($D$1="SAC",-'Price x SAC x SACRE'!H333,IF('Base dinâmica'!$D$1="Price",-'Price x SAC x SACRE'!C333,IF('Base dinâmica'!$D$1="sacre",-'Price x SAC x SACRE'!M333,0)))</f>
        <v>-2974.6101139757661</v>
      </c>
      <c r="D334" s="70">
        <f>IF($D$1="SAC",-'Price x SAC x SACRE'!I333,IF('Base dinâmica'!$D$1="Price",-'Price x SAC x SACRE'!D333,IF('Base dinâmica'!$D$1="sacre",-'Price x SAC x SACRE'!N333,0)))</f>
        <v>-1126.3081603746712</v>
      </c>
      <c r="E334" s="70">
        <f>IF($D$1="SAC",-'Price x SAC x SACRE'!J333,IF('Base dinâmica'!$D$1="Price",-'Price x SAC x SACRE'!E333,IF('Base dinâmica'!$D$1="sacre",-'Price x SAC x SACRE'!O333,0)))</f>
        <v>-115724.17150551829</v>
      </c>
      <c r="F334" s="70">
        <f t="shared" ref="F334:F342" si="132">+F333</f>
        <v>40941.828722063146</v>
      </c>
      <c r="G334" s="70">
        <f t="shared" ref="G334:G342" si="133">+G333</f>
        <v>-1579.8120427988745</v>
      </c>
      <c r="H334" s="70">
        <f t="shared" ref="H334:H341" si="134">+H333</f>
        <v>-935.73482535010282</v>
      </c>
      <c r="I334" s="70">
        <f t="shared" si="117"/>
        <v>38426.281853914166</v>
      </c>
      <c r="J334" s="123">
        <f t="shared" si="129"/>
        <v>4.0741237836483535E-3</v>
      </c>
      <c r="K334" s="123">
        <f t="shared" si="118"/>
        <v>1.2272234429039575E-2</v>
      </c>
      <c r="L334" s="124">
        <f t="shared" si="128"/>
        <v>0.1075</v>
      </c>
      <c r="M334" s="125">
        <f>+Dashboard!$B$36</f>
        <v>1</v>
      </c>
      <c r="N334" s="160">
        <f t="shared" si="130"/>
        <v>8.5450710394860963E-3</v>
      </c>
      <c r="O334" s="70">
        <f t="shared" si="131"/>
        <v>19601563.526493415</v>
      </c>
    </row>
    <row r="335" spans="1:15" outlineLevel="1" x14ac:dyDescent="0.25">
      <c r="A335" s="122">
        <v>328</v>
      </c>
      <c r="B335" s="70">
        <f>IF($D$1="SAC",-'Price x SAC x SACRE'!G334,IF('Base dinâmica'!$D$1="Price",-'Price x SAC x SACRE'!B334,IF('Base dinâmica'!$D$1="sacre",-'Price x SAC x SACRE'!L334,0)))</f>
        <v>-4100.9182743504371</v>
      </c>
      <c r="C335" s="70">
        <f>IF($D$1="SAC",-'Price x SAC x SACRE'!H334,IF('Base dinâmica'!$D$1="Price",-'Price x SAC x SACRE'!C334,IF('Base dinâmica'!$D$1="sacre",-'Price x SAC x SACRE'!M334,0)))</f>
        <v>-3002.8355734083989</v>
      </c>
      <c r="D335" s="70">
        <f>IF($D$1="SAC",-'Price x SAC x SACRE'!I334,IF('Base dinâmica'!$D$1="Price",-'Price x SAC x SACRE'!D334,IF('Base dinâmica'!$D$1="sacre",-'Price x SAC x SACRE'!N334,0)))</f>
        <v>-1098.0827009420386</v>
      </c>
      <c r="E335" s="70">
        <f>IF($D$1="SAC",-'Price x SAC x SACRE'!J334,IF('Base dinâmica'!$D$1="Price",-'Price x SAC x SACRE'!E334,IF('Base dinâmica'!$D$1="sacre",-'Price x SAC x SACRE'!O334,0)))</f>
        <v>-112721.33593210988</v>
      </c>
      <c r="F335" s="70">
        <f t="shared" si="132"/>
        <v>40941.828722063146</v>
      </c>
      <c r="G335" s="70">
        <f t="shared" si="133"/>
        <v>-1579.8120427988745</v>
      </c>
      <c r="H335" s="70">
        <f t="shared" si="134"/>
        <v>-935.73482535010282</v>
      </c>
      <c r="I335" s="70">
        <f t="shared" si="117"/>
        <v>38426.281853914166</v>
      </c>
      <c r="J335" s="123">
        <f t="shared" si="129"/>
        <v>4.0741237836483535E-3</v>
      </c>
      <c r="K335" s="123">
        <f t="shared" si="118"/>
        <v>1.6396356814853741E-2</v>
      </c>
      <c r="L335" s="124">
        <f t="shared" si="128"/>
        <v>0.1075</v>
      </c>
      <c r="M335" s="125">
        <f>+Dashboard!$B$36</f>
        <v>1</v>
      </c>
      <c r="N335" s="160">
        <f t="shared" si="130"/>
        <v>8.5450710394860963E-3</v>
      </c>
      <c r="O335" s="70">
        <f t="shared" si="131"/>
        <v>19803385.642891865</v>
      </c>
    </row>
    <row r="336" spans="1:15" outlineLevel="1" x14ac:dyDescent="0.25">
      <c r="A336" s="122">
        <v>329</v>
      </c>
      <c r="B336" s="70">
        <f>IF($D$1="SAC",-'Price x SAC x SACRE'!G335,IF('Base dinâmica'!$D$1="Price",-'Price x SAC x SACRE'!B335,IF('Base dinâmica'!$D$1="sacre",-'Price x SAC x SACRE'!L335,0)))</f>
        <v>-4100.9182743504371</v>
      </c>
      <c r="C336" s="70">
        <f>IF($D$1="SAC",-'Price x SAC x SACRE'!H335,IF('Base dinâmica'!$D$1="Price",-'Price x SAC x SACRE'!C335,IF('Base dinâmica'!$D$1="sacre",-'Price x SAC x SACRE'!M335,0)))</f>
        <v>-3031.3288583810709</v>
      </c>
      <c r="D336" s="70">
        <f>IF($D$1="SAC",-'Price x SAC x SACRE'!I335,IF('Base dinâmica'!$D$1="Price",-'Price x SAC x SACRE'!D335,IF('Base dinâmica'!$D$1="sacre",-'Price x SAC x SACRE'!N335,0)))</f>
        <v>-1069.5894159693662</v>
      </c>
      <c r="E336" s="70">
        <f>IF($D$1="SAC",-'Price x SAC x SACRE'!J335,IF('Base dinâmica'!$D$1="Price",-'Price x SAC x SACRE'!E335,IF('Base dinâmica'!$D$1="sacre",-'Price x SAC x SACRE'!O335,0)))</f>
        <v>-109690.00707372882</v>
      </c>
      <c r="F336" s="70">
        <f t="shared" si="132"/>
        <v>40941.828722063146</v>
      </c>
      <c r="G336" s="70">
        <f t="shared" si="133"/>
        <v>-1579.8120427988745</v>
      </c>
      <c r="H336" s="70">
        <f t="shared" si="134"/>
        <v>-935.73482535010282</v>
      </c>
      <c r="I336" s="70">
        <f t="shared" si="117"/>
        <v>38426.281853914166</v>
      </c>
      <c r="J336" s="123">
        <f t="shared" si="129"/>
        <v>4.0741237836483535E-3</v>
      </c>
      <c r="K336" s="123">
        <f t="shared" si="118"/>
        <v>2.0537281385766715E-2</v>
      </c>
      <c r="L336" s="124">
        <f t="shared" si="128"/>
        <v>0.1075</v>
      </c>
      <c r="M336" s="125">
        <f>+Dashboard!$B$36</f>
        <v>1</v>
      </c>
      <c r="N336" s="160">
        <f t="shared" si="130"/>
        <v>8.5450710394860963E-3</v>
      </c>
      <c r="O336" s="70">
        <f t="shared" si="131"/>
        <v>20006932.34361228</v>
      </c>
    </row>
    <row r="337" spans="1:15" outlineLevel="1" x14ac:dyDescent="0.25">
      <c r="A337" s="122">
        <v>330</v>
      </c>
      <c r="B337" s="70">
        <f>IF($D$1="SAC",-'Price x SAC x SACRE'!G336,IF('Base dinâmica'!$D$1="Price",-'Price x SAC x SACRE'!B336,IF('Base dinâmica'!$D$1="sacre",-'Price x SAC x SACRE'!L336,0)))</f>
        <v>-4100.9182743504371</v>
      </c>
      <c r="C337" s="70">
        <f>IF($D$1="SAC",-'Price x SAC x SACRE'!H336,IF('Base dinâmica'!$D$1="Price",-'Price x SAC x SACRE'!C336,IF('Base dinâmica'!$D$1="sacre",-'Price x SAC x SACRE'!M336,0)))</f>
        <v>-3060.0925102348751</v>
      </c>
      <c r="D337" s="70">
        <f>IF($D$1="SAC",-'Price x SAC x SACRE'!I336,IF('Base dinâmica'!$D$1="Price",-'Price x SAC x SACRE'!D336,IF('Base dinâmica'!$D$1="sacre",-'Price x SAC x SACRE'!N336,0)))</f>
        <v>-1040.8257641155624</v>
      </c>
      <c r="E337" s="70">
        <f>IF($D$1="SAC",-'Price x SAC x SACRE'!J336,IF('Base dinâmica'!$D$1="Price",-'Price x SAC x SACRE'!E336,IF('Base dinâmica'!$D$1="sacre",-'Price x SAC x SACRE'!O336,0)))</f>
        <v>-106629.91456349395</v>
      </c>
      <c r="F337" s="70">
        <f t="shared" si="132"/>
        <v>40941.828722063146</v>
      </c>
      <c r="G337" s="70">
        <f t="shared" si="133"/>
        <v>-1579.8120427988745</v>
      </c>
      <c r="H337" s="70">
        <f t="shared" si="134"/>
        <v>-935.73482535010282</v>
      </c>
      <c r="I337" s="70">
        <f t="shared" si="117"/>
        <v>38426.281853914166</v>
      </c>
      <c r="J337" s="123">
        <f t="shared" si="129"/>
        <v>4.0741237836483535E-3</v>
      </c>
      <c r="K337" s="123">
        <f t="shared" si="118"/>
        <v>2.4695076595960375E-2</v>
      </c>
      <c r="L337" s="124">
        <f t="shared" si="128"/>
        <v>0.1075</v>
      </c>
      <c r="M337" s="125">
        <f>+Dashboard!$B$36</f>
        <v>1</v>
      </c>
      <c r="N337" s="160">
        <f t="shared" si="130"/>
        <v>8.5450710394860963E-3</v>
      </c>
      <c r="O337" s="70">
        <f t="shared" si="131"/>
        <v>20212218.365350202</v>
      </c>
    </row>
    <row r="338" spans="1:15" outlineLevel="1" x14ac:dyDescent="0.25">
      <c r="A338" s="122">
        <v>331</v>
      </c>
      <c r="B338" s="70">
        <f>IF($D$1="SAC",-'Price x SAC x SACRE'!G337,IF('Base dinâmica'!$D$1="Price",-'Price x SAC x SACRE'!B337,IF('Base dinâmica'!$D$1="sacre",-'Price x SAC x SACRE'!L337,0)))</f>
        <v>-4100.9182743504371</v>
      </c>
      <c r="C338" s="70">
        <f>IF($D$1="SAC",-'Price x SAC x SACRE'!H337,IF('Base dinâmica'!$D$1="Price",-'Price x SAC x SACRE'!C337,IF('Base dinâmica'!$D$1="sacre",-'Price x SAC x SACRE'!M337,0)))</f>
        <v>-3089.1290944251614</v>
      </c>
      <c r="D338" s="70">
        <f>IF($D$1="SAC",-'Price x SAC x SACRE'!I337,IF('Base dinâmica'!$D$1="Price",-'Price x SAC x SACRE'!D337,IF('Base dinâmica'!$D$1="sacre",-'Price x SAC x SACRE'!N337,0)))</f>
        <v>-1011.7891799252752</v>
      </c>
      <c r="E338" s="70">
        <f>IF($D$1="SAC",-'Price x SAC x SACRE'!J337,IF('Base dinâmica'!$D$1="Price",-'Price x SAC x SACRE'!E337,IF('Base dinâmica'!$D$1="sacre",-'Price x SAC x SACRE'!O337,0)))</f>
        <v>-103540.78546906878</v>
      </c>
      <c r="F338" s="70">
        <f t="shared" si="132"/>
        <v>40941.828722063146</v>
      </c>
      <c r="G338" s="70">
        <f t="shared" si="133"/>
        <v>-1579.8120427988745</v>
      </c>
      <c r="H338" s="70">
        <f t="shared" si="134"/>
        <v>-935.73482535010282</v>
      </c>
      <c r="I338" s="70">
        <f t="shared" si="117"/>
        <v>38426.281853914166</v>
      </c>
      <c r="J338" s="123">
        <f t="shared" si="129"/>
        <v>4.0741237836483535E-3</v>
      </c>
      <c r="K338" s="123">
        <f t="shared" si="118"/>
        <v>2.8869811178507288E-2</v>
      </c>
      <c r="L338" s="124">
        <f t="shared" si="128"/>
        <v>0.1075</v>
      </c>
      <c r="M338" s="125">
        <f>+Dashboard!$B$36</f>
        <v>1</v>
      </c>
      <c r="N338" s="160">
        <f t="shared" si="130"/>
        <v>8.5450710394860963E-3</v>
      </c>
      <c r="O338" s="70">
        <f t="shared" si="131"/>
        <v>20419258.570727289</v>
      </c>
    </row>
    <row r="339" spans="1:15" outlineLevel="1" x14ac:dyDescent="0.25">
      <c r="A339" s="122">
        <v>332</v>
      </c>
      <c r="B339" s="70">
        <f>IF($D$1="SAC",-'Price x SAC x SACRE'!G338,IF('Base dinâmica'!$D$1="Price",-'Price x SAC x SACRE'!B338,IF('Base dinâmica'!$D$1="sacre",-'Price x SAC x SACRE'!L338,0)))</f>
        <v>-4100.9182743504371</v>
      </c>
      <c r="C339" s="70">
        <f>IF($D$1="SAC",-'Price x SAC x SACRE'!H338,IF('Base dinâmica'!$D$1="Price",-'Price x SAC x SACRE'!C338,IF('Base dinâmica'!$D$1="sacre",-'Price x SAC x SACRE'!M338,0)))</f>
        <v>-3118.4412007503588</v>
      </c>
      <c r="D339" s="70">
        <f>IF($D$1="SAC",-'Price x SAC x SACRE'!I338,IF('Base dinâmica'!$D$1="Price",-'Price x SAC x SACRE'!D338,IF('Base dinâmica'!$D$1="sacre",-'Price x SAC x SACRE'!N338,0)))</f>
        <v>-982.47707360007871</v>
      </c>
      <c r="E339" s="70">
        <f>IF($D$1="SAC",-'Price x SAC x SACRE'!J338,IF('Base dinâmica'!$D$1="Price",-'Price x SAC x SACRE'!E338,IF('Base dinâmica'!$D$1="sacre",-'Price x SAC x SACRE'!O338,0)))</f>
        <v>-100422.34426831843</v>
      </c>
      <c r="F339" s="70">
        <f t="shared" si="132"/>
        <v>40941.828722063146</v>
      </c>
      <c r="G339" s="70">
        <f t="shared" si="133"/>
        <v>-1579.8120427988745</v>
      </c>
      <c r="H339" s="70">
        <f t="shared" si="134"/>
        <v>-935.73482535010282</v>
      </c>
      <c r="I339" s="70">
        <f t="shared" si="117"/>
        <v>38426.281853914166</v>
      </c>
      <c r="J339" s="123">
        <f t="shared" si="129"/>
        <v>4.0741237836483535E-3</v>
      </c>
      <c r="K339" s="123">
        <f t="shared" si="118"/>
        <v>3.3061554146507355E-2</v>
      </c>
      <c r="L339" s="124">
        <f t="shared" si="128"/>
        <v>0.1075</v>
      </c>
      <c r="M339" s="125">
        <f>+Dashboard!$B$36</f>
        <v>1</v>
      </c>
      <c r="N339" s="160">
        <f t="shared" si="130"/>
        <v>8.5450710394860963E-3</v>
      </c>
      <c r="O339" s="70">
        <f t="shared" si="131"/>
        <v>20628067.949367352</v>
      </c>
    </row>
    <row r="340" spans="1:15" outlineLevel="1" x14ac:dyDescent="0.25">
      <c r="A340" s="122">
        <v>333</v>
      </c>
      <c r="B340" s="70">
        <f>IF($D$1="SAC",-'Price x SAC x SACRE'!G339,IF('Base dinâmica'!$D$1="Price",-'Price x SAC x SACRE'!B339,IF('Base dinâmica'!$D$1="sacre",-'Price x SAC x SACRE'!L339,0)))</f>
        <v>-4100.9182743504371</v>
      </c>
      <c r="C340" s="70">
        <f>IF($D$1="SAC",-'Price x SAC x SACRE'!H339,IF('Base dinâmica'!$D$1="Price",-'Price x SAC x SACRE'!C339,IF('Base dinâmica'!$D$1="sacre",-'Price x SAC x SACRE'!M339,0)))</f>
        <v>-3148.0314435829514</v>
      </c>
      <c r="D340" s="70">
        <f>IF($D$1="SAC",-'Price x SAC x SACRE'!I339,IF('Base dinâmica'!$D$1="Price",-'Price x SAC x SACRE'!D339,IF('Base dinâmica'!$D$1="sacre",-'Price x SAC x SACRE'!N339,0)))</f>
        <v>-952.88683076748612</v>
      </c>
      <c r="E340" s="70">
        <f>IF($D$1="SAC",-'Price x SAC x SACRE'!J339,IF('Base dinâmica'!$D$1="Price",-'Price x SAC x SACRE'!E339,IF('Base dinâmica'!$D$1="sacre",-'Price x SAC x SACRE'!O339,0)))</f>
        <v>-97274.312824735476</v>
      </c>
      <c r="F340" s="70">
        <f t="shared" si="132"/>
        <v>40941.828722063146</v>
      </c>
      <c r="G340" s="70">
        <f t="shared" si="133"/>
        <v>-1579.8120427988745</v>
      </c>
      <c r="H340" s="70">
        <f t="shared" si="134"/>
        <v>-935.73482535010282</v>
      </c>
      <c r="I340" s="70">
        <f t="shared" si="117"/>
        <v>38426.281853914166</v>
      </c>
      <c r="J340" s="123">
        <f t="shared" si="129"/>
        <v>4.0741237836483535E-3</v>
      </c>
      <c r="K340" s="123">
        <f t="shared" si="118"/>
        <v>3.7270374794228456E-2</v>
      </c>
      <c r="L340" s="124">
        <f t="shared" si="128"/>
        <v>0.1075</v>
      </c>
      <c r="M340" s="125">
        <f>+Dashboard!$B$36</f>
        <v>1</v>
      </c>
      <c r="N340" s="160">
        <f t="shared" si="130"/>
        <v>8.5450710394860963E-3</v>
      </c>
      <c r="O340" s="70">
        <f t="shared" si="131"/>
        <v>20838661.618981607</v>
      </c>
    </row>
    <row r="341" spans="1:15" outlineLevel="1" x14ac:dyDescent="0.25">
      <c r="A341" s="122">
        <v>334</v>
      </c>
      <c r="B341" s="70">
        <f>IF($D$1="SAC",-'Price x SAC x SACRE'!G340,IF('Base dinâmica'!$D$1="Price",-'Price x SAC x SACRE'!B340,IF('Base dinâmica'!$D$1="sacre",-'Price x SAC x SACRE'!L340,0)))</f>
        <v>-4100.9182743504371</v>
      </c>
      <c r="C341" s="70">
        <f>IF($D$1="SAC",-'Price x SAC x SACRE'!H340,IF('Base dinâmica'!$D$1="Price",-'Price x SAC x SACRE'!C340,IF('Base dinâmica'!$D$1="sacre",-'Price x SAC x SACRE'!M340,0)))</f>
        <v>-3177.9024621026665</v>
      </c>
      <c r="D341" s="70">
        <f>IF($D$1="SAC",-'Price x SAC x SACRE'!I340,IF('Base dinâmica'!$D$1="Price",-'Price x SAC x SACRE'!D340,IF('Base dinâmica'!$D$1="sacre",-'Price x SAC x SACRE'!N340,0)))</f>
        <v>-923.0158122477709</v>
      </c>
      <c r="E341" s="70">
        <f>IF($D$1="SAC",-'Price x SAC x SACRE'!J340,IF('Base dinâmica'!$D$1="Price",-'Price x SAC x SACRE'!E340,IF('Base dinâmica'!$D$1="sacre",-'Price x SAC x SACRE'!O340,0)))</f>
        <v>-94096.410362632814</v>
      </c>
      <c r="F341" s="70">
        <f t="shared" si="132"/>
        <v>40941.828722063146</v>
      </c>
      <c r="G341" s="70">
        <f t="shared" si="133"/>
        <v>-1579.8120427988745</v>
      </c>
      <c r="H341" s="70">
        <f t="shared" si="134"/>
        <v>-935.73482535010282</v>
      </c>
      <c r="I341" s="70">
        <f t="shared" si="117"/>
        <v>38426.281853914166</v>
      </c>
      <c r="J341" s="123">
        <f t="shared" si="129"/>
        <v>4.0741237836483535E-3</v>
      </c>
      <c r="K341" s="123">
        <f t="shared" si="118"/>
        <v>4.1496342698251532E-2</v>
      </c>
      <c r="L341" s="124">
        <f t="shared" si="128"/>
        <v>0.1075</v>
      </c>
      <c r="M341" s="125">
        <f>+Dashboard!$B$36</f>
        <v>1</v>
      </c>
      <c r="N341" s="160">
        <f t="shared" si="130"/>
        <v>8.5450710394860963E-3</v>
      </c>
      <c r="O341" s="70">
        <f t="shared" si="131"/>
        <v>21051054.826463182</v>
      </c>
    </row>
    <row r="342" spans="1:15" outlineLevel="1" x14ac:dyDescent="0.25">
      <c r="A342" s="122">
        <v>335</v>
      </c>
      <c r="B342" s="70">
        <f>IF($D$1="SAC",-'Price x SAC x SACRE'!G341,IF('Base dinâmica'!$D$1="Price",-'Price x SAC x SACRE'!B341,IF('Base dinâmica'!$D$1="sacre",-'Price x SAC x SACRE'!L341,0)))</f>
        <v>-4100.9182743504371</v>
      </c>
      <c r="C342" s="70">
        <f>IF($D$1="SAC",-'Price x SAC x SACRE'!H341,IF('Base dinâmica'!$D$1="Price",-'Price x SAC x SACRE'!C341,IF('Base dinâmica'!$D$1="sacre",-'Price x SAC x SACRE'!M341,0)))</f>
        <v>-3208.0569205318602</v>
      </c>
      <c r="D342" s="70">
        <f>IF($D$1="SAC",-'Price x SAC x SACRE'!I341,IF('Base dinâmica'!$D$1="Price",-'Price x SAC x SACRE'!D341,IF('Base dinâmica'!$D$1="sacre",-'Price x SAC x SACRE'!N341,0)))</f>
        <v>-892.86135381857719</v>
      </c>
      <c r="E342" s="70">
        <f>IF($D$1="SAC",-'Price x SAC x SACRE'!J341,IF('Base dinâmica'!$D$1="Price",-'Price x SAC x SACRE'!E341,IF('Base dinâmica'!$D$1="sacre",-'Price x SAC x SACRE'!O341,0)))</f>
        <v>-90888.353442100954</v>
      </c>
      <c r="F342" s="70">
        <f t="shared" si="132"/>
        <v>40941.828722063146</v>
      </c>
      <c r="G342" s="70">
        <f t="shared" si="133"/>
        <v>-1579.8120427988745</v>
      </c>
      <c r="H342" s="70">
        <v>0</v>
      </c>
      <c r="I342" s="70">
        <f t="shared" si="117"/>
        <v>39362.01667926427</v>
      </c>
      <c r="J342" s="123">
        <f t="shared" si="129"/>
        <v>4.0741237836483535E-3</v>
      </c>
      <c r="K342" s="123">
        <f t="shared" si="118"/>
        <v>4.573952771862122E-2</v>
      </c>
      <c r="L342" s="124">
        <f t="shared" si="128"/>
        <v>0.1075</v>
      </c>
      <c r="M342" s="125">
        <f>+Dashboard!$B$36</f>
        <v>1</v>
      </c>
      <c r="N342" s="160">
        <f t="shared" si="130"/>
        <v>8.5450710394860963E-3</v>
      </c>
      <c r="O342" s="70">
        <f t="shared" si="131"/>
        <v>21266198.68381634</v>
      </c>
    </row>
    <row r="343" spans="1:15" s="53" customFormat="1" x14ac:dyDescent="0.25">
      <c r="A343" s="68">
        <v>336</v>
      </c>
      <c r="B343" s="64">
        <f>IF($D$1="SAC",-'Price x SAC x SACRE'!G342,IF('Base dinâmica'!$D$1="Price",-'Price x SAC x SACRE'!B342,IF('Base dinâmica'!$D$1="sacre",-'Price x SAC x SACRE'!L342,0)))</f>
        <v>-4100.9182743504371</v>
      </c>
      <c r="C343" s="64">
        <f>IF($D$1="SAC",-'Price x SAC x SACRE'!H342,IF('Base dinâmica'!$D$1="Price",-'Price x SAC x SACRE'!C342,IF('Base dinâmica'!$D$1="sacre",-'Price x SAC x SACRE'!M342,0)))</f>
        <v>-3238.4975083731433</v>
      </c>
      <c r="D343" s="64">
        <f>IF($D$1="SAC",-'Price x SAC x SACRE'!I342,IF('Base dinâmica'!$D$1="Price",-'Price x SAC x SACRE'!D342,IF('Base dinâmica'!$D$1="sacre",-'Price x SAC x SACRE'!N342,0)))</f>
        <v>-862.4207659772942</v>
      </c>
      <c r="E343" s="64">
        <f>IF($D$1="SAC",-'Price x SAC x SACRE'!J342,IF('Base dinâmica'!$D$1="Price",-'Price x SAC x SACRE'!E342,IF('Base dinâmica'!$D$1="sacre",-'Price x SAC x SACRE'!O342,0)))</f>
        <v>-87649.855933727813</v>
      </c>
      <c r="F343" s="64">
        <f>+F342</f>
        <v>40941.828722063146</v>
      </c>
      <c r="G343" s="64">
        <f>+G342</f>
        <v>-1579.8120427988745</v>
      </c>
      <c r="H343" s="64">
        <v>0</v>
      </c>
      <c r="I343" s="64">
        <f t="shared" si="117"/>
        <v>39362.01667926427</v>
      </c>
      <c r="J343" s="119">
        <f t="shared" si="129"/>
        <v>4.0741237836483535E-3</v>
      </c>
      <c r="K343" s="119">
        <f t="shared" si="118"/>
        <v>5.0000000000000933E-2</v>
      </c>
      <c r="L343" s="120">
        <f t="shared" si="128"/>
        <v>0.1075</v>
      </c>
      <c r="M343" s="121">
        <f>+Dashboard!$B$36</f>
        <v>1</v>
      </c>
      <c r="N343" s="160">
        <f t="shared" si="130"/>
        <v>8.5450710394860963E-3</v>
      </c>
      <c r="O343" s="64">
        <f t="shared" si="131"/>
        <v>21483180.960714292</v>
      </c>
    </row>
    <row r="344" spans="1:15" outlineLevel="1" x14ac:dyDescent="0.25">
      <c r="A344" s="122">
        <v>337</v>
      </c>
      <c r="B344" s="70">
        <f>IF($D$1="SAC",-'Price x SAC x SACRE'!G343,IF('Base dinâmica'!$D$1="Price",-'Price x SAC x SACRE'!B343,IF('Base dinâmica'!$D$1="sacre",-'Price x SAC x SACRE'!L343,0)))</f>
        <v>-4100.9182743504371</v>
      </c>
      <c r="C344" s="70">
        <f>IF($D$1="SAC",-'Price x SAC x SACRE'!H343,IF('Base dinâmica'!$D$1="Price",-'Price x SAC x SACRE'!C343,IF('Base dinâmica'!$D$1="sacre",-'Price x SAC x SACRE'!M343,0)))</f>
        <v>-3269.2269406492587</v>
      </c>
      <c r="D344" s="70">
        <f>IF($D$1="SAC",-'Price x SAC x SACRE'!I343,IF('Base dinâmica'!$D$1="Price",-'Price x SAC x SACRE'!D343,IF('Base dinâmica'!$D$1="sacre",-'Price x SAC x SACRE'!N343,0)))</f>
        <v>-831.69133370117834</v>
      </c>
      <c r="E344" s="70">
        <f>IF($D$1="SAC",-'Price x SAC x SACRE'!J343,IF('Base dinâmica'!$D$1="Price",-'Price x SAC x SACRE'!E343,IF('Base dinâmica'!$D$1="sacre",-'Price x SAC x SACRE'!O343,0)))</f>
        <v>-84380.628993078557</v>
      </c>
      <c r="F344" s="70">
        <f>+F343*(1+K343)</f>
        <v>42988.920158166344</v>
      </c>
      <c r="G344" s="70">
        <f>+G343*(1+K343)</f>
        <v>-1658.8026449388196</v>
      </c>
      <c r="H344" s="70">
        <f>+H341*(1+K343)</f>
        <v>-982.52156661760887</v>
      </c>
      <c r="I344" s="70">
        <f t="shared" si="117"/>
        <v>40347.595946609916</v>
      </c>
      <c r="J344" s="123">
        <f t="shared" si="129"/>
        <v>4.0741237836483535E-3</v>
      </c>
      <c r="K344" s="123">
        <f>+J344</f>
        <v>4.0741237836483535E-3</v>
      </c>
      <c r="L344" s="124">
        <f t="shared" si="128"/>
        <v>0.1075</v>
      </c>
      <c r="M344" s="125">
        <f>+Dashboard!$B$36</f>
        <v>1</v>
      </c>
      <c r="N344" s="160">
        <f t="shared" si="130"/>
        <v>8.5450710394860963E-3</v>
      </c>
      <c r="O344" s="70">
        <f t="shared" si="131"/>
        <v>21703002.945849989</v>
      </c>
    </row>
    <row r="345" spans="1:15" outlineLevel="1" x14ac:dyDescent="0.25">
      <c r="A345" s="122">
        <v>338</v>
      </c>
      <c r="B345" s="70">
        <f>IF($D$1="SAC",-'Price x SAC x SACRE'!G344,IF('Base dinâmica'!$D$1="Price",-'Price x SAC x SACRE'!B344,IF('Base dinâmica'!$D$1="sacre",-'Price x SAC x SACRE'!L344,0)))</f>
        <v>-4100.9182743504371</v>
      </c>
      <c r="C345" s="70">
        <f>IF($D$1="SAC",-'Price x SAC x SACRE'!H344,IF('Base dinâmica'!$D$1="Price",-'Price x SAC x SACRE'!C344,IF('Base dinâmica'!$D$1="sacre",-'Price x SAC x SACRE'!M344,0)))</f>
        <v>-3300.2479581452399</v>
      </c>
      <c r="D345" s="70">
        <f>IF($D$1="SAC",-'Price x SAC x SACRE'!I344,IF('Base dinâmica'!$D$1="Price",-'Price x SAC x SACRE'!D344,IF('Base dinâmica'!$D$1="sacre",-'Price x SAC x SACRE'!N344,0)))</f>
        <v>-800.67031620519708</v>
      </c>
      <c r="E345" s="70">
        <f>IF($D$1="SAC",-'Price x SAC x SACRE'!J344,IF('Base dinâmica'!$D$1="Price",-'Price x SAC x SACRE'!E344,IF('Base dinâmica'!$D$1="sacre",-'Price x SAC x SACRE'!O344,0)))</f>
        <v>-81080.381034933322</v>
      </c>
      <c r="F345" s="70">
        <f>+F344</f>
        <v>42988.920158166344</v>
      </c>
      <c r="G345" s="70">
        <f>+G344</f>
        <v>-1658.8026449388196</v>
      </c>
      <c r="H345" s="70">
        <f>+H344</f>
        <v>-982.52156661760887</v>
      </c>
      <c r="I345" s="70">
        <f t="shared" si="117"/>
        <v>40347.595946609916</v>
      </c>
      <c r="J345" s="123">
        <f t="shared" si="129"/>
        <v>4.0741237836483535E-3</v>
      </c>
      <c r="K345" s="123">
        <f t="shared" si="118"/>
        <v>8.1648460519012644E-3</v>
      </c>
      <c r="L345" s="124">
        <f t="shared" si="128"/>
        <v>0.1075</v>
      </c>
      <c r="M345" s="125">
        <f>+Dashboard!$B$36</f>
        <v>1</v>
      </c>
      <c r="N345" s="160">
        <f t="shared" si="130"/>
        <v>8.5450710394860963E-3</v>
      </c>
      <c r="O345" s="70">
        <f t="shared" si="131"/>
        <v>21924703.325464711</v>
      </c>
    </row>
    <row r="346" spans="1:15" outlineLevel="1" x14ac:dyDescent="0.25">
      <c r="A346" s="122">
        <v>339</v>
      </c>
      <c r="B346" s="70">
        <f>IF($D$1="SAC",-'Price x SAC x SACRE'!G345,IF('Base dinâmica'!$D$1="Price",-'Price x SAC x SACRE'!B345,IF('Base dinâmica'!$D$1="sacre",-'Price x SAC x SACRE'!L345,0)))</f>
        <v>-4100.9182743504371</v>
      </c>
      <c r="C346" s="70">
        <f>IF($D$1="SAC",-'Price x SAC x SACRE'!H345,IF('Base dinâmica'!$D$1="Price",-'Price x SAC x SACRE'!C345,IF('Base dinâmica'!$D$1="sacre",-'Price x SAC x SACRE'!M345,0)))</f>
        <v>-3331.5633276528611</v>
      </c>
      <c r="D346" s="70">
        <f>IF($D$1="SAC",-'Price x SAC x SACRE'!I345,IF('Base dinâmica'!$D$1="Price",-'Price x SAC x SACRE'!D345,IF('Base dinâmica'!$D$1="sacre",-'Price x SAC x SACRE'!N345,0)))</f>
        <v>-769.35494669757645</v>
      </c>
      <c r="E346" s="70">
        <f>IF($D$1="SAC",-'Price x SAC x SACRE'!J345,IF('Base dinâmica'!$D$1="Price",-'Price x SAC x SACRE'!E345,IF('Base dinâmica'!$D$1="sacre",-'Price x SAC x SACRE'!O345,0)))</f>
        <v>-77748.817707280454</v>
      </c>
      <c r="F346" s="70">
        <f t="shared" ref="F346:F354" si="135">+F345</f>
        <v>42988.920158166344</v>
      </c>
      <c r="G346" s="70">
        <f t="shared" ref="G346:G354" si="136">+G345</f>
        <v>-1658.8026449388196</v>
      </c>
      <c r="H346" s="70">
        <f t="shared" ref="H346:H353" si="137">+H345</f>
        <v>-982.52156661760887</v>
      </c>
      <c r="I346" s="70">
        <f t="shared" si="117"/>
        <v>40347.595946609916</v>
      </c>
      <c r="J346" s="123">
        <f t="shared" si="129"/>
        <v>4.0741237836483535E-3</v>
      </c>
      <c r="K346" s="123">
        <f t="shared" si="118"/>
        <v>1.2272234429039575E-2</v>
      </c>
      <c r="L346" s="124">
        <f t="shared" si="128"/>
        <v>0.1075</v>
      </c>
      <c r="M346" s="125">
        <f>+Dashboard!$B$36</f>
        <v>1</v>
      </c>
      <c r="N346" s="160">
        <f t="shared" si="130"/>
        <v>8.5450710394860963E-3</v>
      </c>
      <c r="O346" s="70">
        <f t="shared" si="131"/>
        <v>22148298.150572725</v>
      </c>
    </row>
    <row r="347" spans="1:15" outlineLevel="1" x14ac:dyDescent="0.25">
      <c r="A347" s="122">
        <v>340</v>
      </c>
      <c r="B347" s="70">
        <f>IF($D$1="SAC",-'Price x SAC x SACRE'!G346,IF('Base dinâmica'!$D$1="Price",-'Price x SAC x SACRE'!B346,IF('Base dinâmica'!$D$1="sacre",-'Price x SAC x SACRE'!L346,0)))</f>
        <v>-4100.918274350438</v>
      </c>
      <c r="C347" s="70">
        <f>IF($D$1="SAC",-'Price x SAC x SACRE'!H346,IF('Base dinâmica'!$D$1="Price",-'Price x SAC x SACRE'!C346,IF('Base dinâmica'!$D$1="sacre",-'Price x SAC x SACRE'!M346,0)))</f>
        <v>-3363.1758422174098</v>
      </c>
      <c r="D347" s="70">
        <f>IF($D$1="SAC",-'Price x SAC x SACRE'!I346,IF('Base dinâmica'!$D$1="Price",-'Price x SAC x SACRE'!D346,IF('Base dinâmica'!$D$1="sacre",-'Price x SAC x SACRE'!N346,0)))</f>
        <v>-737.74243213302793</v>
      </c>
      <c r="E347" s="70">
        <f>IF($D$1="SAC",-'Price x SAC x SACRE'!J346,IF('Base dinâmica'!$D$1="Price",-'Price x SAC x SACRE'!E346,IF('Base dinâmica'!$D$1="sacre",-'Price x SAC x SACRE'!O346,0)))</f>
        <v>-74385.641865063051</v>
      </c>
      <c r="F347" s="70">
        <f t="shared" si="135"/>
        <v>42988.920158166344</v>
      </c>
      <c r="G347" s="70">
        <f t="shared" si="136"/>
        <v>-1658.8026449388196</v>
      </c>
      <c r="H347" s="70">
        <f t="shared" si="137"/>
        <v>-982.52156661760887</v>
      </c>
      <c r="I347" s="70">
        <f t="shared" si="117"/>
        <v>40347.595946609916</v>
      </c>
      <c r="J347" s="123">
        <f t="shared" si="129"/>
        <v>4.0741237836483535E-3</v>
      </c>
      <c r="K347" s="123">
        <f t="shared" si="118"/>
        <v>1.6396356814853741E-2</v>
      </c>
      <c r="L347" s="124">
        <f t="shared" si="128"/>
        <v>0.1075</v>
      </c>
      <c r="M347" s="125">
        <f>+Dashboard!$B$36</f>
        <v>1</v>
      </c>
      <c r="N347" s="160">
        <f t="shared" si="130"/>
        <v>8.5450710394860963E-3</v>
      </c>
      <c r="O347" s="70">
        <f t="shared" si="131"/>
        <v>22373803.609345347</v>
      </c>
    </row>
    <row r="348" spans="1:15" outlineLevel="1" x14ac:dyDescent="0.25">
      <c r="A348" s="122">
        <v>341</v>
      </c>
      <c r="B348" s="70">
        <f>IF($D$1="SAC",-'Price x SAC x SACRE'!G347,IF('Base dinâmica'!$D$1="Price",-'Price x SAC x SACRE'!B347,IF('Base dinâmica'!$D$1="sacre",-'Price x SAC x SACRE'!L347,0)))</f>
        <v>-4100.9182743504371</v>
      </c>
      <c r="C348" s="70">
        <f>IF($D$1="SAC",-'Price x SAC x SACRE'!H347,IF('Base dinâmica'!$D$1="Price",-'Price x SAC x SACRE'!C347,IF('Base dinâmica'!$D$1="sacre",-'Price x SAC x SACRE'!M347,0)))</f>
        <v>-3395.0883213868024</v>
      </c>
      <c r="D348" s="70">
        <f>IF($D$1="SAC",-'Price x SAC x SACRE'!I347,IF('Base dinâmica'!$D$1="Price",-'Price x SAC x SACRE'!D347,IF('Base dinâmica'!$D$1="sacre",-'Price x SAC x SACRE'!N347,0)))</f>
        <v>-705.82995296363504</v>
      </c>
      <c r="E348" s="70">
        <f>IF($D$1="SAC",-'Price x SAC x SACRE'!J347,IF('Base dinâmica'!$D$1="Price",-'Price x SAC x SACRE'!E347,IF('Base dinâmica'!$D$1="sacre",-'Price x SAC x SACRE'!O347,0)))</f>
        <v>-70990.553543676244</v>
      </c>
      <c r="F348" s="70">
        <f t="shared" si="135"/>
        <v>42988.920158166344</v>
      </c>
      <c r="G348" s="70">
        <f t="shared" si="136"/>
        <v>-1658.8026449388196</v>
      </c>
      <c r="H348" s="70">
        <f t="shared" si="137"/>
        <v>-982.52156661760887</v>
      </c>
      <c r="I348" s="70">
        <f t="shared" si="117"/>
        <v>40347.595946609916</v>
      </c>
      <c r="J348" s="123">
        <f t="shared" si="129"/>
        <v>4.0741237836483535E-3</v>
      </c>
      <c r="K348" s="123">
        <f t="shared" si="118"/>
        <v>2.0537281385766715E-2</v>
      </c>
      <c r="L348" s="124">
        <f t="shared" si="128"/>
        <v>0.1075</v>
      </c>
      <c r="M348" s="125">
        <f>+Dashboard!$B$36</f>
        <v>1</v>
      </c>
      <c r="N348" s="160">
        <f t="shared" si="130"/>
        <v>8.5450710394860963E-3</v>
      </c>
      <c r="O348" s="70">
        <f t="shared" si="131"/>
        <v>22601236.028282974</v>
      </c>
    </row>
    <row r="349" spans="1:15" outlineLevel="1" x14ac:dyDescent="0.25">
      <c r="A349" s="122">
        <v>342</v>
      </c>
      <c r="B349" s="70">
        <f>IF($D$1="SAC",-'Price x SAC x SACRE'!G348,IF('Base dinâmica'!$D$1="Price",-'Price x SAC x SACRE'!B348,IF('Base dinâmica'!$D$1="sacre",-'Price x SAC x SACRE'!L348,0)))</f>
        <v>-4100.9182743504371</v>
      </c>
      <c r="C349" s="70">
        <f>IF($D$1="SAC",-'Price x SAC x SACRE'!H348,IF('Base dinâmica'!$D$1="Price",-'Price x SAC x SACRE'!C348,IF('Base dinâmica'!$D$1="sacre",-'Price x SAC x SACRE'!M348,0)))</f>
        <v>-3427.3036114630627</v>
      </c>
      <c r="D349" s="70">
        <f>IF($D$1="SAC",-'Price x SAC x SACRE'!I348,IF('Base dinâmica'!$D$1="Price",-'Price x SAC x SACRE'!D348,IF('Base dinâmica'!$D$1="sacre",-'Price x SAC x SACRE'!N348,0)))</f>
        <v>-673.61466288737449</v>
      </c>
      <c r="E349" s="70">
        <f>IF($D$1="SAC",-'Price x SAC x SACRE'!J348,IF('Base dinâmica'!$D$1="Price",-'Price x SAC x SACRE'!E348,IF('Base dinâmica'!$D$1="sacre",-'Price x SAC x SACRE'!O348,0)))</f>
        <v>-67563.249932213177</v>
      </c>
      <c r="F349" s="70">
        <f t="shared" si="135"/>
        <v>42988.920158166344</v>
      </c>
      <c r="G349" s="70">
        <f t="shared" si="136"/>
        <v>-1658.8026449388196</v>
      </c>
      <c r="H349" s="70">
        <f t="shared" si="137"/>
        <v>-982.52156661760887</v>
      </c>
      <c r="I349" s="70">
        <f t="shared" si="117"/>
        <v>40347.595946609916</v>
      </c>
      <c r="J349" s="123">
        <f t="shared" si="129"/>
        <v>4.0741237836483535E-3</v>
      </c>
      <c r="K349" s="123">
        <f t="shared" si="118"/>
        <v>2.4695076595960375E-2</v>
      </c>
      <c r="L349" s="124">
        <f t="shared" si="128"/>
        <v>0.1075</v>
      </c>
      <c r="M349" s="125">
        <f>+Dashboard!$B$36</f>
        <v>1</v>
      </c>
      <c r="N349" s="160">
        <f t="shared" si="130"/>
        <v>8.5450710394860963E-3</v>
      </c>
      <c r="O349" s="70">
        <f t="shared" si="131"/>
        <v>22830611.873397104</v>
      </c>
    </row>
    <row r="350" spans="1:15" outlineLevel="1" x14ac:dyDescent="0.25">
      <c r="A350" s="122">
        <v>343</v>
      </c>
      <c r="B350" s="70">
        <f>IF($D$1="SAC",-'Price x SAC x SACRE'!G349,IF('Base dinâmica'!$D$1="Price",-'Price x SAC x SACRE'!B349,IF('Base dinâmica'!$D$1="sacre",-'Price x SAC x SACRE'!L349,0)))</f>
        <v>-4100.9182743504371</v>
      </c>
      <c r="C350" s="70">
        <f>IF($D$1="SAC",-'Price x SAC x SACRE'!H349,IF('Base dinâmica'!$D$1="Price",-'Price x SAC x SACRE'!C349,IF('Base dinâmica'!$D$1="sacre",-'Price x SAC x SACRE'!M349,0)))</f>
        <v>-3459.8245857561847</v>
      </c>
      <c r="D350" s="70">
        <f>IF($D$1="SAC",-'Price x SAC x SACRE'!I349,IF('Base dinâmica'!$D$1="Price",-'Price x SAC x SACRE'!D349,IF('Base dinâmica'!$D$1="sacre",-'Price x SAC x SACRE'!N349,0)))</f>
        <v>-641.09368859425285</v>
      </c>
      <c r="E350" s="70">
        <f>IF($D$1="SAC",-'Price x SAC x SACRE'!J349,IF('Base dinâmica'!$D$1="Price",-'Price x SAC x SACRE'!E349,IF('Base dinâmica'!$D$1="sacre",-'Price x SAC x SACRE'!O349,0)))</f>
        <v>-64103.425346456992</v>
      </c>
      <c r="F350" s="70">
        <f t="shared" si="135"/>
        <v>42988.920158166344</v>
      </c>
      <c r="G350" s="70">
        <f t="shared" si="136"/>
        <v>-1658.8026449388196</v>
      </c>
      <c r="H350" s="70">
        <f t="shared" si="137"/>
        <v>-982.52156661760887</v>
      </c>
      <c r="I350" s="70">
        <f t="shared" si="117"/>
        <v>40347.595946609916</v>
      </c>
      <c r="J350" s="123">
        <f t="shared" si="129"/>
        <v>4.0741237836483535E-3</v>
      </c>
      <c r="K350" s="123">
        <f t="shared" si="118"/>
        <v>2.8869811178507288E-2</v>
      </c>
      <c r="L350" s="124">
        <f t="shared" si="128"/>
        <v>0.1075</v>
      </c>
      <c r="M350" s="125">
        <f>+Dashboard!$B$36</f>
        <v>1</v>
      </c>
      <c r="N350" s="160">
        <f t="shared" si="130"/>
        <v>8.5450710394860963E-3</v>
      </c>
      <c r="O350" s="70">
        <f t="shared" si="131"/>
        <v>23061947.751402479</v>
      </c>
    </row>
    <row r="351" spans="1:15" outlineLevel="1" x14ac:dyDescent="0.25">
      <c r="A351" s="122">
        <v>344</v>
      </c>
      <c r="B351" s="70">
        <f>IF($D$1="SAC",-'Price x SAC x SACRE'!G350,IF('Base dinâmica'!$D$1="Price",-'Price x SAC x SACRE'!B350,IF('Base dinâmica'!$D$1="sacre",-'Price x SAC x SACRE'!L350,0)))</f>
        <v>-4100.9182743504371</v>
      </c>
      <c r="C351" s="70">
        <f>IF($D$1="SAC",-'Price x SAC x SACRE'!H350,IF('Base dinâmica'!$D$1="Price",-'Price x SAC x SACRE'!C350,IF('Base dinâmica'!$D$1="sacre",-'Price x SAC x SACRE'!M350,0)))</f>
        <v>-3492.6541448404046</v>
      </c>
      <c r="D351" s="70">
        <f>IF($D$1="SAC",-'Price x SAC x SACRE'!I350,IF('Base dinâmica'!$D$1="Price",-'Price x SAC x SACRE'!D350,IF('Base dinâmica'!$D$1="sacre",-'Price x SAC x SACRE'!N350,0)))</f>
        <v>-608.26412951003283</v>
      </c>
      <c r="E351" s="70">
        <f>IF($D$1="SAC",-'Price x SAC x SACRE'!J350,IF('Base dinâmica'!$D$1="Price",-'Price x SAC x SACRE'!E350,IF('Base dinâmica'!$D$1="sacre",-'Price x SAC x SACRE'!O350,0)))</f>
        <v>-60610.77120161659</v>
      </c>
      <c r="F351" s="70">
        <f t="shared" si="135"/>
        <v>42988.920158166344</v>
      </c>
      <c r="G351" s="70">
        <f t="shared" si="136"/>
        <v>-1658.8026449388196</v>
      </c>
      <c r="H351" s="70">
        <f t="shared" si="137"/>
        <v>-982.52156661760887</v>
      </c>
      <c r="I351" s="70">
        <f t="shared" si="117"/>
        <v>40347.595946609916</v>
      </c>
      <c r="J351" s="123">
        <f t="shared" si="129"/>
        <v>4.0741237836483535E-3</v>
      </c>
      <c r="K351" s="123">
        <f t="shared" si="118"/>
        <v>3.3061554146507355E-2</v>
      </c>
      <c r="L351" s="124">
        <f t="shared" si="128"/>
        <v>0.1075</v>
      </c>
      <c r="M351" s="125">
        <f>+Dashboard!$B$36</f>
        <v>1</v>
      </c>
      <c r="N351" s="160">
        <f t="shared" si="130"/>
        <v>8.5450710394860963E-3</v>
      </c>
      <c r="O351" s="70">
        <f t="shared" si="131"/>
        <v>23295260.410919391</v>
      </c>
    </row>
    <row r="352" spans="1:15" outlineLevel="1" x14ac:dyDescent="0.25">
      <c r="A352" s="122">
        <v>345</v>
      </c>
      <c r="B352" s="70">
        <f>IF($D$1="SAC",-'Price x SAC x SACRE'!G351,IF('Base dinâmica'!$D$1="Price",-'Price x SAC x SACRE'!B351,IF('Base dinâmica'!$D$1="sacre",-'Price x SAC x SACRE'!L351,0)))</f>
        <v>-4100.918274350438</v>
      </c>
      <c r="C352" s="70">
        <f>IF($D$1="SAC",-'Price x SAC x SACRE'!H351,IF('Base dinâmica'!$D$1="Price",-'Price x SAC x SACRE'!C351,IF('Base dinâmica'!$D$1="sacre",-'Price x SAC x SACRE'!M351,0)))</f>
        <v>-3525.7952168129086</v>
      </c>
      <c r="D352" s="70">
        <f>IF($D$1="SAC",-'Price x SAC x SACRE'!I351,IF('Base dinâmica'!$D$1="Price",-'Price x SAC x SACRE'!D351,IF('Base dinâmica'!$D$1="sacre",-'Price x SAC x SACRE'!N351,0)))</f>
        <v>-575.12305753752901</v>
      </c>
      <c r="E352" s="70">
        <f>IF($D$1="SAC",-'Price x SAC x SACRE'!J351,IF('Base dinâmica'!$D$1="Price",-'Price x SAC x SACRE'!E351,IF('Base dinâmica'!$D$1="sacre",-'Price x SAC x SACRE'!O351,0)))</f>
        <v>-57084.975984803677</v>
      </c>
      <c r="F352" s="70">
        <f t="shared" si="135"/>
        <v>42988.920158166344</v>
      </c>
      <c r="G352" s="70">
        <f t="shared" si="136"/>
        <v>-1658.8026449388196</v>
      </c>
      <c r="H352" s="70">
        <f t="shared" si="137"/>
        <v>-982.52156661760887</v>
      </c>
      <c r="I352" s="70">
        <f t="shared" ref="I352:I367" si="138">+F352+G352+H352</f>
        <v>40347.595946609916</v>
      </c>
      <c r="J352" s="123">
        <f t="shared" si="129"/>
        <v>4.0741237836483535E-3</v>
      </c>
      <c r="K352" s="123">
        <f t="shared" ref="K352:K367" si="139">((+K351+1)*(J352+1))-1</f>
        <v>3.7270374794228456E-2</v>
      </c>
      <c r="L352" s="124">
        <f t="shared" si="128"/>
        <v>0.1075</v>
      </c>
      <c r="M352" s="125">
        <f>+Dashboard!$B$36</f>
        <v>1</v>
      </c>
      <c r="N352" s="160">
        <f t="shared" si="130"/>
        <v>8.5450710394860963E-3</v>
      </c>
      <c r="O352" s="70">
        <f t="shared" si="131"/>
        <v>23530566.743686285</v>
      </c>
    </row>
    <row r="353" spans="1:15" outlineLevel="1" x14ac:dyDescent="0.25">
      <c r="A353" s="122">
        <v>346</v>
      </c>
      <c r="B353" s="70">
        <f>IF($D$1="SAC",-'Price x SAC x SACRE'!G352,IF('Base dinâmica'!$D$1="Price",-'Price x SAC x SACRE'!B352,IF('Base dinâmica'!$D$1="sacre",-'Price x SAC x SACRE'!L352,0)))</f>
        <v>-4100.9182743504371</v>
      </c>
      <c r="C353" s="70">
        <f>IF($D$1="SAC",-'Price x SAC x SACRE'!H352,IF('Base dinâmica'!$D$1="Price",-'Price x SAC x SACRE'!C352,IF('Base dinâmica'!$D$1="sacre",-'Price x SAC x SACRE'!M352,0)))</f>
        <v>-3559.2507575549894</v>
      </c>
      <c r="D353" s="70">
        <f>IF($D$1="SAC",-'Price x SAC x SACRE'!I352,IF('Base dinâmica'!$D$1="Price",-'Price x SAC x SACRE'!D352,IF('Base dinâmica'!$D$1="sacre",-'Price x SAC x SACRE'!N352,0)))</f>
        <v>-541.66751679544802</v>
      </c>
      <c r="E353" s="70">
        <f>IF($D$1="SAC",-'Price x SAC x SACRE'!J352,IF('Base dinâmica'!$D$1="Price",-'Price x SAC x SACRE'!E352,IF('Base dinâmica'!$D$1="sacre",-'Price x SAC x SACRE'!O352,0)))</f>
        <v>-53525.725227248688</v>
      </c>
      <c r="F353" s="70">
        <f t="shared" si="135"/>
        <v>42988.920158166344</v>
      </c>
      <c r="G353" s="70">
        <f t="shared" si="136"/>
        <v>-1658.8026449388196</v>
      </c>
      <c r="H353" s="70">
        <f t="shared" si="137"/>
        <v>-982.52156661760887</v>
      </c>
      <c r="I353" s="70">
        <f t="shared" si="138"/>
        <v>40347.595946609916</v>
      </c>
      <c r="J353" s="123">
        <f t="shared" si="129"/>
        <v>4.0741237836483535E-3</v>
      </c>
      <c r="K353" s="123">
        <f t="shared" si="139"/>
        <v>4.1496342698251532E-2</v>
      </c>
      <c r="L353" s="124">
        <f t="shared" si="128"/>
        <v>0.1075</v>
      </c>
      <c r="M353" s="125">
        <f>+Dashboard!$B$36</f>
        <v>1</v>
      </c>
      <c r="N353" s="160">
        <f t="shared" si="130"/>
        <v>8.5450710394860963E-3</v>
      </c>
      <c r="O353" s="70">
        <f t="shared" si="131"/>
        <v>23767883.785782713</v>
      </c>
    </row>
    <row r="354" spans="1:15" outlineLevel="1" x14ac:dyDescent="0.25">
      <c r="A354" s="122">
        <v>347</v>
      </c>
      <c r="B354" s="70">
        <f>IF($D$1="SAC",-'Price x SAC x SACRE'!G353,IF('Base dinâmica'!$D$1="Price",-'Price x SAC x SACRE'!B353,IF('Base dinâmica'!$D$1="sacre",-'Price x SAC x SACRE'!L353,0)))</f>
        <v>-4100.918274350438</v>
      </c>
      <c r="C354" s="70">
        <f>IF($D$1="SAC",-'Price x SAC x SACRE'!H353,IF('Base dinâmica'!$D$1="Price",-'Price x SAC x SACRE'!C353,IF('Base dinâmica'!$D$1="sacre",-'Price x SAC x SACRE'!M353,0)))</f>
        <v>-3593.0237509956869</v>
      </c>
      <c r="D354" s="70">
        <f>IF($D$1="SAC",-'Price x SAC x SACRE'!I353,IF('Base dinâmica'!$D$1="Price",-'Price x SAC x SACRE'!D353,IF('Base dinâmica'!$D$1="sacre",-'Price x SAC x SACRE'!N353,0)))</f>
        <v>-507.89452335475085</v>
      </c>
      <c r="E354" s="70">
        <f>IF($D$1="SAC",-'Price x SAC x SACRE'!J353,IF('Base dinâmica'!$D$1="Price",-'Price x SAC x SACRE'!E353,IF('Base dinâmica'!$D$1="sacre",-'Price x SAC x SACRE'!O353,0)))</f>
        <v>-49932.701476253002</v>
      </c>
      <c r="F354" s="70">
        <f t="shared" si="135"/>
        <v>42988.920158166344</v>
      </c>
      <c r="G354" s="70">
        <f t="shared" si="136"/>
        <v>-1658.8026449388196</v>
      </c>
      <c r="H354" s="70">
        <v>0</v>
      </c>
      <c r="I354" s="70">
        <f t="shared" si="138"/>
        <v>41330.117513227524</v>
      </c>
      <c r="J354" s="123">
        <f t="shared" si="129"/>
        <v>4.0741237836483535E-3</v>
      </c>
      <c r="K354" s="123">
        <f t="shared" si="139"/>
        <v>4.573952771862122E-2</v>
      </c>
      <c r="L354" s="124">
        <f t="shared" si="128"/>
        <v>0.1075</v>
      </c>
      <c r="M354" s="125">
        <f>+Dashboard!$B$36</f>
        <v>1</v>
      </c>
      <c r="N354" s="160">
        <f t="shared" si="130"/>
        <v>8.5450710394860963E-3</v>
      </c>
      <c r="O354" s="70">
        <f t="shared" si="131"/>
        <v>24008211.240429353</v>
      </c>
    </row>
    <row r="355" spans="1:15" s="53" customFormat="1" x14ac:dyDescent="0.25">
      <c r="A355" s="68">
        <v>348</v>
      </c>
      <c r="B355" s="64">
        <f>IF($D$1="SAC",-'Price x SAC x SACRE'!G354,IF('Base dinâmica'!$D$1="Price",-'Price x SAC x SACRE'!B354,IF('Base dinâmica'!$D$1="sacre",-'Price x SAC x SACRE'!L354,0)))</f>
        <v>-4100.9182743504371</v>
      </c>
      <c r="C355" s="64">
        <f>IF($D$1="SAC",-'Price x SAC x SACRE'!H354,IF('Base dinâmica'!$D$1="Price",-'Price x SAC x SACRE'!C354,IF('Base dinâmica'!$D$1="sacre",-'Price x SAC x SACRE'!M354,0)))</f>
        <v>-3627.1172093779232</v>
      </c>
      <c r="D355" s="64">
        <f>IF($D$1="SAC",-'Price x SAC x SACRE'!I354,IF('Base dinâmica'!$D$1="Price",-'Price x SAC x SACRE'!D354,IF('Base dinâmica'!$D$1="sacre",-'Price x SAC x SACRE'!N354,0)))</f>
        <v>-473.80106497251393</v>
      </c>
      <c r="E355" s="64">
        <f>IF($D$1="SAC",-'Price x SAC x SACRE'!J354,IF('Base dinâmica'!$D$1="Price",-'Price x SAC x SACRE'!E354,IF('Base dinâmica'!$D$1="sacre",-'Price x SAC x SACRE'!O354,0)))</f>
        <v>-46305.584266875077</v>
      </c>
      <c r="F355" s="64">
        <f>+F354</f>
        <v>42988.920158166344</v>
      </c>
      <c r="G355" s="64">
        <f>+G354</f>
        <v>-1658.8026449388196</v>
      </c>
      <c r="H355" s="64">
        <v>0</v>
      </c>
      <c r="I355" s="64">
        <f t="shared" si="138"/>
        <v>41330.117513227524</v>
      </c>
      <c r="J355" s="119">
        <f t="shared" si="129"/>
        <v>4.0741237836483535E-3</v>
      </c>
      <c r="K355" s="119">
        <f t="shared" si="139"/>
        <v>5.0000000000000933E-2</v>
      </c>
      <c r="L355" s="120">
        <f t="shared" si="128"/>
        <v>0.1075</v>
      </c>
      <c r="M355" s="121">
        <f>+Dashboard!$B$36</f>
        <v>1</v>
      </c>
      <c r="N355" s="160">
        <f t="shared" si="130"/>
        <v>8.5450710394860963E-3</v>
      </c>
      <c r="O355" s="64">
        <f t="shared" si="131"/>
        <v>24250592.310248688</v>
      </c>
    </row>
    <row r="356" spans="1:15" outlineLevel="1" x14ac:dyDescent="0.25">
      <c r="A356" s="122">
        <v>349</v>
      </c>
      <c r="B356" s="70">
        <f>IF($D$1="SAC",-'Price x SAC x SACRE'!G355,IF('Base dinâmica'!$D$1="Price",-'Price x SAC x SACRE'!B355,IF('Base dinâmica'!$D$1="sacre",-'Price x SAC x SACRE'!L355,0)))</f>
        <v>-4100.9182743504371</v>
      </c>
      <c r="C356" s="70">
        <f>IF($D$1="SAC",-'Price x SAC x SACRE'!H355,IF('Base dinâmica'!$D$1="Price",-'Price x SAC x SACRE'!C355,IF('Base dinâmica'!$D$1="sacre",-'Price x SAC x SACRE'!M355,0)))</f>
        <v>-3661.5341735271732</v>
      </c>
      <c r="D356" s="70">
        <f>IF($D$1="SAC",-'Price x SAC x SACRE'!I355,IF('Base dinâmica'!$D$1="Price",-'Price x SAC x SACRE'!D355,IF('Base dinâmica'!$D$1="sacre",-'Price x SAC x SACRE'!N355,0)))</f>
        <v>-439.38410082326408</v>
      </c>
      <c r="E356" s="70">
        <f>IF($D$1="SAC",-'Price x SAC x SACRE'!J355,IF('Base dinâmica'!$D$1="Price",-'Price x SAC x SACRE'!E355,IF('Base dinâmica'!$D$1="sacre",-'Price x SAC x SACRE'!O355,0)))</f>
        <v>-42644.050093347905</v>
      </c>
      <c r="F356" s="70">
        <f>+F355*(1+K355)</f>
        <v>45138.366166074702</v>
      </c>
      <c r="G356" s="70">
        <f>+G355*(1+K355)</f>
        <v>-1741.7427771857622</v>
      </c>
      <c r="H356" s="70">
        <f>+H353*(1+K355)</f>
        <v>-1031.6476449484903</v>
      </c>
      <c r="I356" s="70">
        <f t="shared" si="138"/>
        <v>42364.975743940449</v>
      </c>
      <c r="J356" s="123">
        <f t="shared" si="129"/>
        <v>4.0741237836483535E-3</v>
      </c>
      <c r="K356" s="123">
        <f>+J356</f>
        <v>4.0741237836483535E-3</v>
      </c>
      <c r="L356" s="124">
        <f t="shared" si="128"/>
        <v>0.1075</v>
      </c>
      <c r="M356" s="125">
        <f>+Dashboard!$B$36</f>
        <v>1</v>
      </c>
      <c r="N356" s="160">
        <f t="shared" si="130"/>
        <v>8.5450710394860963E-3</v>
      </c>
      <c r="O356" s="70">
        <f t="shared" si="131"/>
        <v>24496079.401758969</v>
      </c>
    </row>
    <row r="357" spans="1:15" outlineLevel="1" x14ac:dyDescent="0.25">
      <c r="A357" s="122">
        <v>350</v>
      </c>
      <c r="B357" s="70">
        <f>IF($D$1="SAC",-'Price x SAC x SACRE'!G356,IF('Base dinâmica'!$D$1="Price",-'Price x SAC x SACRE'!B356,IF('Base dinâmica'!$D$1="sacre",-'Price x SAC x SACRE'!L356,0)))</f>
        <v>-4100.9182743504371</v>
      </c>
      <c r="C357" s="70">
        <f>IF($D$1="SAC",-'Price x SAC x SACRE'!H356,IF('Base dinâmica'!$D$1="Price",-'Price x SAC x SACRE'!C356,IF('Base dinâmica'!$D$1="sacre",-'Price x SAC x SACRE'!M356,0)))</f>
        <v>-3696.2777131226721</v>
      </c>
      <c r="D357" s="70">
        <f>IF($D$1="SAC",-'Price x SAC x SACRE'!I356,IF('Base dinâmica'!$D$1="Price",-'Price x SAC x SACRE'!D356,IF('Base dinâmica'!$D$1="sacre",-'Price x SAC x SACRE'!N356,0)))</f>
        <v>-404.64056122776509</v>
      </c>
      <c r="E357" s="70">
        <f>IF($D$1="SAC",-'Price x SAC x SACRE'!J356,IF('Base dinâmica'!$D$1="Price",-'Price x SAC x SACRE'!E356,IF('Base dinâmica'!$D$1="sacre",-'Price x SAC x SACRE'!O356,0)))</f>
        <v>-38947.772380225229</v>
      </c>
      <c r="F357" s="70">
        <f>+F356</f>
        <v>45138.366166074702</v>
      </c>
      <c r="G357" s="70">
        <f>+G356</f>
        <v>-1741.7427771857622</v>
      </c>
      <c r="H357" s="70">
        <f>+H356</f>
        <v>-1031.6476449484903</v>
      </c>
      <c r="I357" s="70">
        <f t="shared" si="138"/>
        <v>42364.975743940449</v>
      </c>
      <c r="J357" s="123">
        <f t="shared" si="129"/>
        <v>4.0741237836483535E-3</v>
      </c>
      <c r="K357" s="123">
        <f t="shared" si="139"/>
        <v>8.1648460519012644E-3</v>
      </c>
      <c r="L357" s="124">
        <f t="shared" si="128"/>
        <v>0.1075</v>
      </c>
      <c r="M357" s="125">
        <f>+Dashboard!$B$36</f>
        <v>1</v>
      </c>
      <c r="N357" s="160">
        <f t="shared" si="130"/>
        <v>8.5450710394860963E-3</v>
      </c>
      <c r="O357" s="70">
        <f t="shared" si="131"/>
        <v>24743664.197905485</v>
      </c>
    </row>
    <row r="358" spans="1:15" outlineLevel="1" x14ac:dyDescent="0.25">
      <c r="A358" s="122">
        <v>351</v>
      </c>
      <c r="B358" s="70">
        <f>IF($D$1="SAC",-'Price x SAC x SACRE'!G357,IF('Base dinâmica'!$D$1="Price",-'Price x SAC x SACRE'!B357,IF('Base dinâmica'!$D$1="sacre",-'Price x SAC x SACRE'!L357,0)))</f>
        <v>-4100.9182743504371</v>
      </c>
      <c r="C358" s="70">
        <f>IF($D$1="SAC",-'Price x SAC x SACRE'!H357,IF('Base dinâmica'!$D$1="Price",-'Price x SAC x SACRE'!C357,IF('Base dinâmica'!$D$1="sacre",-'Price x SAC x SACRE'!M357,0)))</f>
        <v>-3731.3509269712076</v>
      </c>
      <c r="D358" s="70">
        <f>IF($D$1="SAC",-'Price x SAC x SACRE'!I357,IF('Base dinâmica'!$D$1="Price",-'Price x SAC x SACRE'!D357,IF('Base dinâmica'!$D$1="sacre",-'Price x SAC x SACRE'!N357,0)))</f>
        <v>-369.56734737922983</v>
      </c>
      <c r="E358" s="70">
        <f>IF($D$1="SAC",-'Price x SAC x SACRE'!J357,IF('Base dinâmica'!$D$1="Price",-'Price x SAC x SACRE'!E357,IF('Base dinâmica'!$D$1="sacre",-'Price x SAC x SACRE'!O357,0)))</f>
        <v>-35216.421453254021</v>
      </c>
      <c r="F358" s="70">
        <f t="shared" ref="F358:F366" si="140">+F357</f>
        <v>45138.366166074702</v>
      </c>
      <c r="G358" s="70">
        <f t="shared" ref="G358:G366" si="141">+G357</f>
        <v>-1741.7427771857622</v>
      </c>
      <c r="H358" s="70">
        <f t="shared" ref="H358:H365" si="142">+H357</f>
        <v>-1031.6476449484903</v>
      </c>
      <c r="I358" s="70">
        <f t="shared" si="138"/>
        <v>42364.975743940449</v>
      </c>
      <c r="J358" s="123">
        <f t="shared" si="129"/>
        <v>4.0741237836483535E-3</v>
      </c>
      <c r="K358" s="123">
        <f t="shared" si="139"/>
        <v>1.2272234429039575E-2</v>
      </c>
      <c r="L358" s="124">
        <f t="shared" si="128"/>
        <v>0.1075</v>
      </c>
      <c r="M358" s="125">
        <f>+Dashboard!$B$36</f>
        <v>1</v>
      </c>
      <c r="N358" s="160">
        <f t="shared" si="130"/>
        <v>8.5450710394860963E-3</v>
      </c>
      <c r="O358" s="70">
        <f t="shared" si="131"/>
        <v>24993364.623723365</v>
      </c>
    </row>
    <row r="359" spans="1:15" outlineLevel="1" x14ac:dyDescent="0.25">
      <c r="A359" s="122">
        <v>352</v>
      </c>
      <c r="B359" s="70">
        <f>IF($D$1="SAC",-'Price x SAC x SACRE'!G358,IF('Base dinâmica'!$D$1="Price",-'Price x SAC x SACRE'!B358,IF('Base dinâmica'!$D$1="sacre",-'Price x SAC x SACRE'!L358,0)))</f>
        <v>-4100.918274350438</v>
      </c>
      <c r="C359" s="70">
        <f>IF($D$1="SAC",-'Price x SAC x SACRE'!H358,IF('Base dinâmica'!$D$1="Price",-'Price x SAC x SACRE'!C358,IF('Base dinâmica'!$D$1="sacre",-'Price x SAC x SACRE'!M358,0)))</f>
        <v>-3766.7569432835021</v>
      </c>
      <c r="D359" s="70">
        <f>IF($D$1="SAC",-'Price x SAC x SACRE'!I358,IF('Base dinâmica'!$D$1="Price",-'Price x SAC x SACRE'!D358,IF('Base dinâmica'!$D$1="sacre",-'Price x SAC x SACRE'!N358,0)))</f>
        <v>-334.16133106693553</v>
      </c>
      <c r="E359" s="70">
        <f>IF($D$1="SAC",-'Price x SAC x SACRE'!J358,IF('Base dinâmica'!$D$1="Price",-'Price x SAC x SACRE'!E358,IF('Base dinâmica'!$D$1="sacre",-'Price x SAC x SACRE'!O358,0)))</f>
        <v>-31449.66450997052</v>
      </c>
      <c r="F359" s="70">
        <f t="shared" si="140"/>
        <v>45138.366166074702</v>
      </c>
      <c r="G359" s="70">
        <f t="shared" si="141"/>
        <v>-1741.7427771857622</v>
      </c>
      <c r="H359" s="70">
        <f t="shared" si="142"/>
        <v>-1031.6476449484903</v>
      </c>
      <c r="I359" s="70">
        <f t="shared" si="138"/>
        <v>42364.975743940449</v>
      </c>
      <c r="J359" s="123">
        <f t="shared" si="129"/>
        <v>4.0741237836483535E-3</v>
      </c>
      <c r="K359" s="123">
        <f t="shared" si="139"/>
        <v>1.6396356814853741E-2</v>
      </c>
      <c r="L359" s="124">
        <f t="shared" si="128"/>
        <v>0.1075</v>
      </c>
      <c r="M359" s="125">
        <f>+Dashboard!$B$36</f>
        <v>1</v>
      </c>
      <c r="N359" s="160">
        <f t="shared" si="130"/>
        <v>8.5450710394860963E-3</v>
      </c>
      <c r="O359" s="70">
        <f t="shared" si="131"/>
        <v>25245198.75741845</v>
      </c>
    </row>
    <row r="360" spans="1:15" outlineLevel="1" x14ac:dyDescent="0.25">
      <c r="A360" s="122">
        <v>353</v>
      </c>
      <c r="B360" s="70">
        <f>IF($D$1="SAC",-'Price x SAC x SACRE'!G359,IF('Base dinâmica'!$D$1="Price",-'Price x SAC x SACRE'!B359,IF('Base dinâmica'!$D$1="sacre",-'Price x SAC x SACRE'!L359,0)))</f>
        <v>-4100.9182743504371</v>
      </c>
      <c r="C360" s="70">
        <f>IF($D$1="SAC",-'Price x SAC x SACRE'!H359,IF('Base dinâmica'!$D$1="Price",-'Price x SAC x SACRE'!C359,IF('Base dinâmica'!$D$1="sacre",-'Price x SAC x SACRE'!M359,0)))</f>
        <v>-3802.498919953222</v>
      </c>
      <c r="D360" s="70">
        <f>IF($D$1="SAC",-'Price x SAC x SACRE'!I359,IF('Base dinâmica'!$D$1="Price",-'Price x SAC x SACRE'!D359,IF('Base dinâmica'!$D$1="sacre",-'Price x SAC x SACRE'!N359,0)))</f>
        <v>-298.41935439721544</v>
      </c>
      <c r="E360" s="70">
        <f>IF($D$1="SAC",-'Price x SAC x SACRE'!J359,IF('Base dinâmica'!$D$1="Price",-'Price x SAC x SACRE'!E359,IF('Base dinâmica'!$D$1="sacre",-'Price x SAC x SACRE'!O359,0)))</f>
        <v>-27647.165590017299</v>
      </c>
      <c r="F360" s="70">
        <f t="shared" si="140"/>
        <v>45138.366166074702</v>
      </c>
      <c r="G360" s="70">
        <f t="shared" si="141"/>
        <v>-1741.7427771857622</v>
      </c>
      <c r="H360" s="70">
        <f t="shared" si="142"/>
        <v>-1031.6476449484903</v>
      </c>
      <c r="I360" s="70">
        <f t="shared" si="138"/>
        <v>42364.975743940449</v>
      </c>
      <c r="J360" s="123">
        <f t="shared" si="129"/>
        <v>4.0741237836483535E-3</v>
      </c>
      <c r="K360" s="123">
        <f t="shared" si="139"/>
        <v>2.0537281385766715E-2</v>
      </c>
      <c r="L360" s="124">
        <f t="shared" si="128"/>
        <v>0.1075</v>
      </c>
      <c r="M360" s="125">
        <f>+Dashboard!$B$36</f>
        <v>1</v>
      </c>
      <c r="N360" s="160">
        <f t="shared" si="130"/>
        <v>8.5450710394860963E-3</v>
      </c>
      <c r="O360" s="70">
        <f t="shared" si="131"/>
        <v>25499184.831676129</v>
      </c>
    </row>
    <row r="361" spans="1:15" outlineLevel="1" x14ac:dyDescent="0.25">
      <c r="A361" s="122">
        <v>354</v>
      </c>
      <c r="B361" s="70">
        <f>IF($D$1="SAC",-'Price x SAC x SACRE'!G360,IF('Base dinâmica'!$D$1="Price",-'Price x SAC x SACRE'!B360,IF('Base dinâmica'!$D$1="sacre",-'Price x SAC x SACRE'!L360,0)))</f>
        <v>-4100.9182743504371</v>
      </c>
      <c r="C361" s="70">
        <f>IF($D$1="SAC",-'Price x SAC x SACRE'!H360,IF('Base dinâmica'!$D$1="Price",-'Price x SAC x SACRE'!C360,IF('Base dinâmica'!$D$1="sacre",-'Price x SAC x SACRE'!M360,0)))</f>
        <v>-3838.5800448386335</v>
      </c>
      <c r="D361" s="70">
        <f>IF($D$1="SAC",-'Price x SAC x SACRE'!I360,IF('Base dinâmica'!$D$1="Price",-'Price x SAC x SACRE'!D360,IF('Base dinâmica'!$D$1="sacre",-'Price x SAC x SACRE'!N360,0)))</f>
        <v>-262.33822951180366</v>
      </c>
      <c r="E361" s="70">
        <f>IF($D$1="SAC",-'Price x SAC x SACRE'!J360,IF('Base dinâmica'!$D$1="Price",-'Price x SAC x SACRE'!E360,IF('Base dinâmica'!$D$1="sacre",-'Price x SAC x SACRE'!O360,0)))</f>
        <v>-23808.585545178667</v>
      </c>
      <c r="F361" s="70">
        <f t="shared" si="140"/>
        <v>45138.366166074702</v>
      </c>
      <c r="G361" s="70">
        <f t="shared" si="141"/>
        <v>-1741.7427771857622</v>
      </c>
      <c r="H361" s="70">
        <f t="shared" si="142"/>
        <v>-1031.6476449484903</v>
      </c>
      <c r="I361" s="70">
        <f t="shared" si="138"/>
        <v>42364.975743940449</v>
      </c>
      <c r="J361" s="123">
        <f t="shared" si="129"/>
        <v>4.0741237836483535E-3</v>
      </c>
      <c r="K361" s="123">
        <f t="shared" si="139"/>
        <v>2.4695076595960375E-2</v>
      </c>
      <c r="L361" s="124">
        <f t="shared" si="128"/>
        <v>0.1075</v>
      </c>
      <c r="M361" s="125">
        <f>+Dashboard!$B$36</f>
        <v>1</v>
      </c>
      <c r="N361" s="160">
        <f t="shared" si="130"/>
        <v>8.5450710394860963E-3</v>
      </c>
      <c r="O361" s="70">
        <f t="shared" si="131"/>
        <v>25755341.23498138</v>
      </c>
    </row>
    <row r="362" spans="1:15" outlineLevel="1" x14ac:dyDescent="0.25">
      <c r="A362" s="122">
        <v>355</v>
      </c>
      <c r="B362" s="70">
        <f>IF($D$1="SAC",-'Price x SAC x SACRE'!G361,IF('Base dinâmica'!$D$1="Price",-'Price x SAC x SACRE'!B361,IF('Base dinâmica'!$D$1="sacre",-'Price x SAC x SACRE'!L361,0)))</f>
        <v>-4100.9182743504371</v>
      </c>
      <c r="C362" s="70">
        <f>IF($D$1="SAC",-'Price x SAC x SACRE'!H361,IF('Base dinâmica'!$D$1="Price",-'Price x SAC x SACRE'!C361,IF('Base dinâmica'!$D$1="sacre",-'Price x SAC x SACRE'!M361,0)))</f>
        <v>-3875.0035360469301</v>
      </c>
      <c r="D362" s="70">
        <f>IF($D$1="SAC",-'Price x SAC x SACRE'!I361,IF('Base dinâmica'!$D$1="Price",-'Price x SAC x SACRE'!D361,IF('Base dinâmica'!$D$1="sacre",-'Price x SAC x SACRE'!N361,0)))</f>
        <v>-225.91473830350736</v>
      </c>
      <c r="E362" s="70">
        <f>IF($D$1="SAC",-'Price x SAC x SACRE'!J361,IF('Base dinâmica'!$D$1="Price",-'Price x SAC x SACRE'!E361,IF('Base dinâmica'!$D$1="sacre",-'Price x SAC x SACRE'!O361,0)))</f>
        <v>-19933.582009131736</v>
      </c>
      <c r="F362" s="70">
        <f t="shared" si="140"/>
        <v>45138.366166074702</v>
      </c>
      <c r="G362" s="70">
        <f t="shared" si="141"/>
        <v>-1741.7427771857622</v>
      </c>
      <c r="H362" s="70">
        <f t="shared" si="142"/>
        <v>-1031.6476449484903</v>
      </c>
      <c r="I362" s="70">
        <f t="shared" si="138"/>
        <v>42364.975743940449</v>
      </c>
      <c r="J362" s="123">
        <f t="shared" si="129"/>
        <v>4.0741237836483535E-3</v>
      </c>
      <c r="K362" s="123">
        <f t="shared" si="139"/>
        <v>2.8869811178507288E-2</v>
      </c>
      <c r="L362" s="124">
        <f t="shared" si="128"/>
        <v>0.1075</v>
      </c>
      <c r="M362" s="125">
        <f>+Dashboard!$B$36</f>
        <v>1</v>
      </c>
      <c r="N362" s="160">
        <f t="shared" si="130"/>
        <v>8.5450710394860963E-3</v>
      </c>
      <c r="O362" s="70">
        <f t="shared" si="131"/>
        <v>26013686.512950093</v>
      </c>
    </row>
    <row r="363" spans="1:15" outlineLevel="1" x14ac:dyDescent="0.25">
      <c r="A363" s="122">
        <v>356</v>
      </c>
      <c r="B363" s="70">
        <f>IF($D$1="SAC",-'Price x SAC x SACRE'!G362,IF('Base dinâmica'!$D$1="Price",-'Price x SAC x SACRE'!B362,IF('Base dinâmica'!$D$1="sacre",-'Price x SAC x SACRE'!L362,0)))</f>
        <v>-4100.9182743504371</v>
      </c>
      <c r="C363" s="70">
        <f>IF($D$1="SAC",-'Price x SAC x SACRE'!H362,IF('Base dinâmica'!$D$1="Price",-'Price x SAC x SACRE'!C362,IF('Base dinâmica'!$D$1="sacre",-'Price x SAC x SACRE'!M362,0)))</f>
        <v>-3911.7726422212563</v>
      </c>
      <c r="D363" s="70">
        <f>IF($D$1="SAC",-'Price x SAC x SACRE'!I362,IF('Base dinâmica'!$D$1="Price",-'Price x SAC x SACRE'!D362,IF('Base dinâmica'!$D$1="sacre",-'Price x SAC x SACRE'!N362,0)))</f>
        <v>-189.14563212918094</v>
      </c>
      <c r="E363" s="70">
        <f>IF($D$1="SAC",-'Price x SAC x SACRE'!J362,IF('Base dinâmica'!$D$1="Price",-'Price x SAC x SACRE'!E362,IF('Base dinâmica'!$D$1="sacre",-'Price x SAC x SACRE'!O362,0)))</f>
        <v>-16021.80936691048</v>
      </c>
      <c r="F363" s="70">
        <f t="shared" si="140"/>
        <v>45138.366166074702</v>
      </c>
      <c r="G363" s="70">
        <f t="shared" si="141"/>
        <v>-1741.7427771857622</v>
      </c>
      <c r="H363" s="70">
        <f t="shared" si="142"/>
        <v>-1031.6476449484903</v>
      </c>
      <c r="I363" s="70">
        <f t="shared" si="138"/>
        <v>42364.975743940449</v>
      </c>
      <c r="J363" s="123">
        <f t="shared" si="129"/>
        <v>4.0741237836483535E-3</v>
      </c>
      <c r="K363" s="123">
        <f t="shared" si="139"/>
        <v>3.3061554146507355E-2</v>
      </c>
      <c r="L363" s="124">
        <f t="shared" si="128"/>
        <v>0.1075</v>
      </c>
      <c r="M363" s="125">
        <f>+Dashboard!$B$36</f>
        <v>1</v>
      </c>
      <c r="N363" s="160">
        <f t="shared" si="130"/>
        <v>8.5450710394860963E-3</v>
      </c>
      <c r="O363" s="70">
        <f t="shared" si="131"/>
        <v>26274239.369671766</v>
      </c>
    </row>
    <row r="364" spans="1:15" outlineLevel="1" x14ac:dyDescent="0.25">
      <c r="A364" s="122">
        <v>357</v>
      </c>
      <c r="B364" s="70">
        <f>IF($D$1="SAC",-'Price x SAC x SACRE'!G363,IF('Base dinâmica'!$D$1="Price",-'Price x SAC x SACRE'!B363,IF('Base dinâmica'!$D$1="sacre",-'Price x SAC x SACRE'!L363,0)))</f>
        <v>-4100.9182743504371</v>
      </c>
      <c r="C364" s="70">
        <f>IF($D$1="SAC",-'Price x SAC x SACRE'!H363,IF('Base dinâmica'!$D$1="Price",-'Price x SAC x SACRE'!C363,IF('Base dinâmica'!$D$1="sacre",-'Price x SAC x SACRE'!M363,0)))</f>
        <v>-3948.8906428304604</v>
      </c>
      <c r="D364" s="70">
        <f>IF($D$1="SAC",-'Price x SAC x SACRE'!I363,IF('Base dinâmica'!$D$1="Price",-'Price x SAC x SACRE'!D363,IF('Base dinâmica'!$D$1="sacre",-'Price x SAC x SACRE'!N363,0)))</f>
        <v>-152.02763151997664</v>
      </c>
      <c r="E364" s="70">
        <f>IF($D$1="SAC",-'Price x SAC x SACRE'!J363,IF('Base dinâmica'!$D$1="Price",-'Price x SAC x SACRE'!E363,IF('Base dinâmica'!$D$1="sacre",-'Price x SAC x SACRE'!O363,0)))</f>
        <v>-12072.91872408002</v>
      </c>
      <c r="F364" s="70">
        <f t="shared" si="140"/>
        <v>45138.366166074702</v>
      </c>
      <c r="G364" s="70">
        <f t="shared" si="141"/>
        <v>-1741.7427771857622</v>
      </c>
      <c r="H364" s="70">
        <f t="shared" si="142"/>
        <v>-1031.6476449484903</v>
      </c>
      <c r="I364" s="70">
        <f t="shared" si="138"/>
        <v>42364.975743940449</v>
      </c>
      <c r="J364" s="123">
        <f t="shared" si="129"/>
        <v>4.0741237836483535E-3</v>
      </c>
      <c r="K364" s="123">
        <f t="shared" si="139"/>
        <v>3.7270374794228456E-2</v>
      </c>
      <c r="L364" s="124">
        <f t="shared" si="128"/>
        <v>0.1075</v>
      </c>
      <c r="M364" s="125">
        <f>+Dashboard!$B$36</f>
        <v>1</v>
      </c>
      <c r="N364" s="160">
        <f t="shared" si="130"/>
        <v>8.5450710394860963E-3</v>
      </c>
      <c r="O364" s="70">
        <f t="shared" si="131"/>
        <v>26537018.669063665</v>
      </c>
    </row>
    <row r="365" spans="1:15" outlineLevel="1" x14ac:dyDescent="0.25">
      <c r="A365" s="122">
        <v>358</v>
      </c>
      <c r="B365" s="70">
        <f>IF($D$1="SAC",-'Price x SAC x SACRE'!G364,IF('Base dinâmica'!$D$1="Price",-'Price x SAC x SACRE'!B364,IF('Base dinâmica'!$D$1="sacre",-'Price x SAC x SACRE'!L364,0)))</f>
        <v>-4100.9182743504371</v>
      </c>
      <c r="C365" s="70">
        <f>IF($D$1="SAC",-'Price x SAC x SACRE'!H364,IF('Base dinâmica'!$D$1="Price",-'Price x SAC x SACRE'!C364,IF('Base dinâmica'!$D$1="sacre",-'Price x SAC x SACRE'!M364,0)))</f>
        <v>-3986.3608484615916</v>
      </c>
      <c r="D365" s="70">
        <f>IF($D$1="SAC",-'Price x SAC x SACRE'!I364,IF('Base dinâmica'!$D$1="Price",-'Price x SAC x SACRE'!D364,IF('Base dinâmica'!$D$1="sacre",-'Price x SAC x SACRE'!N364,0)))</f>
        <v>-114.55742588884586</v>
      </c>
      <c r="E365" s="70">
        <f>IF($D$1="SAC",-'Price x SAC x SACRE'!J364,IF('Base dinâmica'!$D$1="Price",-'Price x SAC x SACRE'!E364,IF('Base dinâmica'!$D$1="sacre",-'Price x SAC x SACRE'!O364,0)))</f>
        <v>-8086.5578756184286</v>
      </c>
      <c r="F365" s="70">
        <f t="shared" si="140"/>
        <v>45138.366166074702</v>
      </c>
      <c r="G365" s="70">
        <f t="shared" si="141"/>
        <v>-1741.7427771857622</v>
      </c>
      <c r="H365" s="70">
        <f t="shared" si="142"/>
        <v>-1031.6476449484903</v>
      </c>
      <c r="I365" s="70">
        <f t="shared" si="138"/>
        <v>42364.975743940449</v>
      </c>
      <c r="J365" s="123">
        <f t="shared" si="129"/>
        <v>4.0741237836483535E-3</v>
      </c>
      <c r="K365" s="123">
        <f t="shared" si="139"/>
        <v>4.1496342698251532E-2</v>
      </c>
      <c r="L365" s="124">
        <f t="shared" si="128"/>
        <v>0.1075</v>
      </c>
      <c r="M365" s="125">
        <f>+Dashboard!$B$36</f>
        <v>1</v>
      </c>
      <c r="N365" s="160">
        <f t="shared" si="130"/>
        <v>8.5450710394860963E-3</v>
      </c>
      <c r="O365" s="70">
        <f t="shared" si="131"/>
        <v>26802043.436236575</v>
      </c>
    </row>
    <row r="366" spans="1:15" outlineLevel="1" x14ac:dyDescent="0.25">
      <c r="A366" s="122">
        <v>359</v>
      </c>
      <c r="B366" s="70">
        <f>IF($D$1="SAC",-'Price x SAC x SACRE'!G365,IF('Base dinâmica'!$D$1="Price",-'Price x SAC x SACRE'!B365,IF('Base dinâmica'!$D$1="sacre",-'Price x SAC x SACRE'!L365,0)))</f>
        <v>-4100.9182743504371</v>
      </c>
      <c r="C366" s="70">
        <f>IF($D$1="SAC",-'Price x SAC x SACRE'!H365,IF('Base dinâmica'!$D$1="Price",-'Price x SAC x SACRE'!C365,IF('Base dinâmica'!$D$1="sacre",-'Price x SAC x SACRE'!M365,0)))</f>
        <v>-4024.1866011151724</v>
      </c>
      <c r="D366" s="70">
        <f>IF($D$1="SAC",-'Price x SAC x SACRE'!I365,IF('Base dinâmica'!$D$1="Price",-'Price x SAC x SACRE'!D365,IF('Base dinâmica'!$D$1="sacre",-'Price x SAC x SACRE'!N365,0)))</f>
        <v>-76.731673235265035</v>
      </c>
      <c r="E366" s="70">
        <f>IF($D$1="SAC",-'Price x SAC x SACRE'!J365,IF('Base dinâmica'!$D$1="Price",-'Price x SAC x SACRE'!E365,IF('Base dinâmica'!$D$1="sacre",-'Price x SAC x SACRE'!O365,0)))</f>
        <v>-4062.3712745032562</v>
      </c>
      <c r="F366" s="70">
        <f t="shared" si="140"/>
        <v>45138.366166074702</v>
      </c>
      <c r="G366" s="70">
        <f t="shared" si="141"/>
        <v>-1741.7427771857622</v>
      </c>
      <c r="H366" s="70">
        <v>0</v>
      </c>
      <c r="I366" s="70">
        <f t="shared" si="138"/>
        <v>43396.62338888894</v>
      </c>
      <c r="J366" s="123">
        <f t="shared" si="129"/>
        <v>4.0741237836483535E-3</v>
      </c>
      <c r="K366" s="123">
        <f t="shared" si="139"/>
        <v>4.573952771862122E-2</v>
      </c>
      <c r="L366" s="124">
        <f t="shared" si="128"/>
        <v>0.1075</v>
      </c>
      <c r="M366" s="125">
        <f>+Dashboard!$B$36</f>
        <v>1</v>
      </c>
      <c r="N366" s="160">
        <f t="shared" si="130"/>
        <v>8.5450710394860963E-3</v>
      </c>
      <c r="O366" s="70">
        <f t="shared" si="131"/>
        <v>27070364.50651715</v>
      </c>
    </row>
    <row r="367" spans="1:15" s="53" customFormat="1" x14ac:dyDescent="0.25">
      <c r="A367" s="68">
        <v>360</v>
      </c>
      <c r="B367" s="64">
        <f>IF($D$1="SAC",-'Price x SAC x SACRE'!G366,IF('Base dinâmica'!$D$1="Price",-'Price x SAC x SACRE'!B366,IF('Base dinâmica'!$D$1="sacre",-'Price x SAC x SACRE'!L366,0)))</f>
        <v>-4100.9182743504371</v>
      </c>
      <c r="C367" s="64">
        <f>IF($D$1="SAC",-'Price x SAC x SACRE'!H366,IF('Base dinâmica'!$D$1="Price",-'Price x SAC x SACRE'!C366,IF('Base dinâmica'!$D$1="sacre",-'Price x SAC x SACRE'!M366,0)))</f>
        <v>-4062.3712745032776</v>
      </c>
      <c r="D367" s="64">
        <f>IF($D$1="SAC",-'Price x SAC x SACRE'!I366,IF('Base dinâmica'!$D$1="Price",-'Price x SAC x SACRE'!D366,IF('Base dinâmica'!$D$1="sacre",-'Price x SAC x SACRE'!N366,0)))</f>
        <v>-38.546999847159618</v>
      </c>
      <c r="E367" s="64">
        <f>IF($D$1="SAC",-'Price x SAC x SACRE'!J366,IF('Base dinâmica'!$D$1="Price",-'Price x SAC x SACRE'!E366,IF('Base dinâmica'!$D$1="sacre",-'Price x SAC x SACRE'!O366,0)))</f>
        <v>2.1373125491663814E-11</v>
      </c>
      <c r="F367" s="64">
        <f>+F366</f>
        <v>45138.366166074702</v>
      </c>
      <c r="G367" s="64">
        <f>+G366</f>
        <v>-1741.7427771857622</v>
      </c>
      <c r="H367" s="64">
        <v>0</v>
      </c>
      <c r="I367" s="64">
        <f t="shared" si="138"/>
        <v>43396.62338888894</v>
      </c>
      <c r="J367" s="119">
        <f t="shared" si="129"/>
        <v>4.0741237836483535E-3</v>
      </c>
      <c r="K367" s="119">
        <f t="shared" si="139"/>
        <v>5.0000000000000933E-2</v>
      </c>
      <c r="L367" s="120">
        <f t="shared" si="128"/>
        <v>0.1075</v>
      </c>
      <c r="M367" s="121">
        <f>+Dashboard!$B$36</f>
        <v>1</v>
      </c>
      <c r="N367" s="160">
        <f t="shared" si="130"/>
        <v>8.5450710394860963E-3</v>
      </c>
      <c r="O367" s="64">
        <f t="shared" si="131"/>
        <v>27340978.39940466</v>
      </c>
    </row>
    <row r="368" spans="1:15" x14ac:dyDescent="0.25">
      <c r="J368" s="6"/>
      <c r="L368" s="86"/>
    </row>
  </sheetData>
  <sheetProtection algorithmName="SHA-512" hashValue="K8Y72Ny16Xyr8I+5/v0gNgjy1zlQ/DN02M+8ZLlLUU305L3++RPUzMGx1W5iSHKA9M2WOXqRp3eBXYGBGjuAwA==" saltValue="JwruTRJCtQDw6OFhHeAfZg==" spinCount="100000" sheet="1" objects="1" scenarios="1"/>
  <mergeCells count="3">
    <mergeCell ref="E4:E5"/>
    <mergeCell ref="D1:E1"/>
    <mergeCell ref="F1:I1"/>
  </mergeCells>
  <dataValidations disablePrompts="1" count="2">
    <dataValidation type="list" allowBlank="1" showInputMessage="1" showErrorMessage="1" sqref="A2" xr:uid="{E74F564C-94A4-467B-A682-848D1B3CA256}">
      <formula1>"1,2,3,4,5,6,7,8,9,10"</formula1>
    </dataValidation>
    <dataValidation type="list" showInputMessage="1" showErrorMessage="1" promptTitle="Financiamento" prompt="Escolha a Opção" sqref="D1:E1" xr:uid="{BF78554E-7EC6-46F9-87C1-A986706D345E}">
      <formula1>"PRICE,SAC,SACRE"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06CF-3336-4553-936D-416364C931EE}">
  <sheetPr codeName="Planilha1">
    <tabColor rgb="FFFFFF00"/>
    <pageSetUpPr fitToPage="1"/>
  </sheetPr>
  <dimension ref="A1:L43"/>
  <sheetViews>
    <sheetView showGridLines="0" workbookViewId="0">
      <pane xSplit="1" ySplit="7" topLeftCell="B8" activePane="bottomRight" state="frozen"/>
      <selection activeCell="H49" sqref="H49"/>
      <selection pane="topRight" activeCell="H49" sqref="H49"/>
      <selection pane="bottomLeft" activeCell="H49" sqref="H49"/>
      <selection pane="bottomRight" activeCell="E9" sqref="E9"/>
    </sheetView>
  </sheetViews>
  <sheetFormatPr defaultRowHeight="15" outlineLevelRow="1" x14ac:dyDescent="0.25"/>
  <cols>
    <col min="1" max="1" width="9.140625" style="6"/>
    <col min="2" max="2" width="18.5703125" style="111" customWidth="1"/>
    <col min="3" max="3" width="19.42578125" style="111" bestFit="1" customWidth="1"/>
    <col min="4" max="5" width="14.7109375" style="111" customWidth="1"/>
    <col min="6" max="6" width="15" style="111" customWidth="1"/>
    <col min="7" max="7" width="20.5703125" style="111" customWidth="1"/>
    <col min="8" max="8" width="15" style="111" customWidth="1"/>
    <col min="9" max="9" width="15.42578125" style="111" bestFit="1" customWidth="1"/>
    <col min="10" max="10" width="9.140625" style="6"/>
    <col min="11" max="11" width="12.42578125" style="6" customWidth="1"/>
    <col min="12" max="12" width="19.140625" style="6" customWidth="1"/>
    <col min="13" max="16384" width="9.140625" style="6"/>
  </cols>
  <sheetData>
    <row r="1" spans="1:12" x14ac:dyDescent="0.25">
      <c r="A1" s="127" t="s">
        <v>20</v>
      </c>
      <c r="B1" s="82" t="s">
        <v>19</v>
      </c>
      <c r="C1" s="83"/>
      <c r="D1" s="83"/>
      <c r="F1" s="128" t="s">
        <v>13</v>
      </c>
      <c r="G1" s="83"/>
      <c r="H1" s="83"/>
      <c r="I1" s="129"/>
      <c r="L1" s="10"/>
    </row>
    <row r="2" spans="1:12" x14ac:dyDescent="0.25">
      <c r="A2" s="130">
        <f>+Dashboard!B8</f>
        <v>1</v>
      </c>
      <c r="B2" s="88" t="s">
        <v>38</v>
      </c>
      <c r="C2" s="89">
        <f>+Dashboard!B10</f>
        <v>522200</v>
      </c>
      <c r="D2" s="131"/>
      <c r="E2" s="111">
        <f>+C2-D5</f>
        <v>417760</v>
      </c>
      <c r="F2" s="92" t="s">
        <v>15</v>
      </c>
      <c r="G2" s="132">
        <f>+$C$2*H2</f>
        <v>104440</v>
      </c>
      <c r="H2" s="37">
        <f>+Dashboard!B17</f>
        <v>0.2</v>
      </c>
      <c r="I2" s="38">
        <f>(+G2)*$A$2</f>
        <v>104440</v>
      </c>
      <c r="L2" s="98"/>
    </row>
    <row r="3" spans="1:12" x14ac:dyDescent="0.25">
      <c r="A3" s="133"/>
      <c r="B3" s="88" t="s">
        <v>21</v>
      </c>
      <c r="C3" s="88">
        <f>+E43</f>
        <v>-497438.06572162162</v>
      </c>
      <c r="D3" s="109"/>
      <c r="F3" s="92" t="s">
        <v>16</v>
      </c>
      <c r="G3" s="132">
        <f>(+$C$2*H3)/36</f>
        <v>0</v>
      </c>
      <c r="H3" s="37">
        <f>+Dashboard!B18</f>
        <v>0</v>
      </c>
      <c r="I3" s="38">
        <f>(+G3*36)*$A$2</f>
        <v>0</v>
      </c>
      <c r="K3" s="22"/>
      <c r="L3" s="98"/>
    </row>
    <row r="4" spans="1:12" x14ac:dyDescent="0.25">
      <c r="A4" s="133"/>
      <c r="B4" s="102" t="s">
        <v>7</v>
      </c>
      <c r="C4" s="134" t="s">
        <v>12</v>
      </c>
      <c r="D4" s="134" t="s">
        <v>7</v>
      </c>
      <c r="F4" s="92" t="s">
        <v>14</v>
      </c>
      <c r="G4" s="132">
        <f>(+$C$2*H4)/3</f>
        <v>0</v>
      </c>
      <c r="H4" s="37">
        <f>+Dashboard!B19</f>
        <v>0</v>
      </c>
      <c r="I4" s="38">
        <f>+((G4)*3)*$A$2</f>
        <v>0</v>
      </c>
      <c r="K4" s="23"/>
      <c r="L4" s="98"/>
    </row>
    <row r="5" spans="1:12" x14ac:dyDescent="0.25">
      <c r="A5" s="133"/>
      <c r="B5" s="135">
        <f>+C2*A2</f>
        <v>522200</v>
      </c>
      <c r="C5" s="136">
        <f>+H6</f>
        <v>0.2</v>
      </c>
      <c r="D5" s="137">
        <f>+B5*C5</f>
        <v>104440</v>
      </c>
      <c r="F5" s="92" t="s">
        <v>17</v>
      </c>
      <c r="G5" s="132">
        <f>+$C$2*H5</f>
        <v>0</v>
      </c>
      <c r="H5" s="37">
        <f>+Dashboard!B20</f>
        <v>0</v>
      </c>
      <c r="I5" s="38">
        <f>+(G5*1)*A2</f>
        <v>0</v>
      </c>
      <c r="L5" s="10"/>
    </row>
    <row r="6" spans="1:12" ht="15.75" thickBot="1" x14ac:dyDescent="0.3">
      <c r="A6" s="133"/>
      <c r="B6" s="109" t="s">
        <v>6</v>
      </c>
      <c r="C6" s="110" t="s">
        <v>18</v>
      </c>
      <c r="D6" s="110"/>
      <c r="F6" s="138"/>
      <c r="G6" s="110"/>
      <c r="H6" s="39">
        <f>SUM(H2:H5)</f>
        <v>0.2</v>
      </c>
      <c r="I6" s="38">
        <f>SUM(I2:I5)</f>
        <v>104440</v>
      </c>
      <c r="L6" s="10"/>
    </row>
    <row r="7" spans="1:12" ht="15.75" thickBot="1" x14ac:dyDescent="0.3">
      <c r="A7" s="139" t="s">
        <v>0</v>
      </c>
      <c r="B7" s="140" t="str">
        <f>"Total "&amp;TEXT(SUM(B8:B43),"R$ #.##0,00")</f>
        <v>Total -R$ 104.440,00</v>
      </c>
      <c r="C7" s="141" t="str">
        <f>"Total "&amp;TEXT(SUM(C8:C43),"R$ #.##0,00")</f>
        <v>Total -R$ 104.440,00</v>
      </c>
      <c r="D7" s="142" t="s">
        <v>9</v>
      </c>
      <c r="E7" s="142" t="s">
        <v>8</v>
      </c>
      <c r="F7" s="143" t="s">
        <v>11</v>
      </c>
      <c r="G7" s="144" t="s">
        <v>10</v>
      </c>
      <c r="H7" s="86"/>
      <c r="I7" s="86"/>
    </row>
    <row r="8" spans="1:12" ht="15.75" outlineLevel="1" thickBot="1" x14ac:dyDescent="0.3">
      <c r="A8" s="145">
        <v>1</v>
      </c>
      <c r="B8" s="146">
        <f>-I2-(I3/36)</f>
        <v>-104440</v>
      </c>
      <c r="C8" s="147">
        <f>+B8</f>
        <v>-104440</v>
      </c>
      <c r="D8" s="147">
        <f>IF(D5=0,0,-B5-B8)</f>
        <v>-417760</v>
      </c>
      <c r="E8" s="147">
        <f t="shared" ref="E8:E43" si="0">+D8*(G8+1)</f>
        <v>-417760</v>
      </c>
      <c r="F8" s="124"/>
      <c r="G8" s="124"/>
      <c r="H8" s="86"/>
      <c r="I8" s="86"/>
    </row>
    <row r="9" spans="1:12" outlineLevel="1" x14ac:dyDescent="0.25">
      <c r="A9" s="148">
        <v>2</v>
      </c>
      <c r="B9" s="149">
        <f t="shared" ref="B9:B18" si="1">-$I$3/36</f>
        <v>0</v>
      </c>
      <c r="C9" s="150">
        <f t="shared" ref="C9:C43" si="2">+B9*(G9+1)</f>
        <v>0</v>
      </c>
      <c r="D9" s="150">
        <f>IF($D$5=0,0,+D8-C9)</f>
        <v>-417760</v>
      </c>
      <c r="E9" s="150">
        <f t="shared" si="0"/>
        <v>-419848.79999999993</v>
      </c>
      <c r="F9" s="123">
        <f>+Dashboard!$B$16</f>
        <v>5.0000000000000001E-3</v>
      </c>
      <c r="G9" s="124">
        <v>5.0000000000000001E-3</v>
      </c>
      <c r="H9" s="86"/>
      <c r="I9" s="86"/>
    </row>
    <row r="10" spans="1:12" outlineLevel="1" x14ac:dyDescent="0.25">
      <c r="A10" s="151">
        <v>3</v>
      </c>
      <c r="B10" s="152">
        <f t="shared" si="1"/>
        <v>0</v>
      </c>
      <c r="C10" s="153">
        <f t="shared" si="2"/>
        <v>0</v>
      </c>
      <c r="D10" s="153">
        <f t="shared" ref="D10:D43" si="3">IF($D$5=0,0,+D9-C10)</f>
        <v>-417760</v>
      </c>
      <c r="E10" s="153">
        <f t="shared" si="0"/>
        <v>-421948.04399999988</v>
      </c>
      <c r="F10" s="123">
        <f>+Dashboard!$B$16</f>
        <v>5.0000000000000001E-3</v>
      </c>
      <c r="G10" s="124">
        <f t="shared" ref="G10:G43" si="4">(+G9+1)*(F10+1)-1</f>
        <v>1.0024999999999729E-2</v>
      </c>
      <c r="H10" s="86"/>
      <c r="I10" s="86"/>
    </row>
    <row r="11" spans="1:12" outlineLevel="1" x14ac:dyDescent="0.25">
      <c r="A11" s="151">
        <v>4</v>
      </c>
      <c r="B11" s="152">
        <f t="shared" si="1"/>
        <v>0</v>
      </c>
      <c r="C11" s="153">
        <f t="shared" si="2"/>
        <v>0</v>
      </c>
      <c r="D11" s="153">
        <f t="shared" si="3"/>
        <v>-417760</v>
      </c>
      <c r="E11" s="153">
        <f t="shared" si="0"/>
        <v>-424057.78421999986</v>
      </c>
      <c r="F11" s="123">
        <f>+Dashboard!$B$16</f>
        <v>5.0000000000000001E-3</v>
      </c>
      <c r="G11" s="124">
        <f t="shared" si="4"/>
        <v>1.5075124999999634E-2</v>
      </c>
      <c r="H11" s="86"/>
      <c r="I11" s="86"/>
    </row>
    <row r="12" spans="1:12" outlineLevel="1" x14ac:dyDescent="0.25">
      <c r="A12" s="151">
        <v>5</v>
      </c>
      <c r="B12" s="152">
        <f t="shared" si="1"/>
        <v>0</v>
      </c>
      <c r="C12" s="153">
        <f t="shared" si="2"/>
        <v>0</v>
      </c>
      <c r="D12" s="153">
        <f t="shared" si="3"/>
        <v>-417760</v>
      </c>
      <c r="E12" s="153">
        <f t="shared" si="0"/>
        <v>-426178.07314109983</v>
      </c>
      <c r="F12" s="123">
        <f>+Dashboard!$B$16</f>
        <v>5.0000000000000001E-3</v>
      </c>
      <c r="G12" s="124">
        <f t="shared" si="4"/>
        <v>2.0150500624999568E-2</v>
      </c>
      <c r="H12" s="86"/>
      <c r="I12" s="86"/>
    </row>
    <row r="13" spans="1:12" outlineLevel="1" x14ac:dyDescent="0.25">
      <c r="A13" s="151">
        <v>6</v>
      </c>
      <c r="B13" s="152">
        <f t="shared" si="1"/>
        <v>0</v>
      </c>
      <c r="C13" s="153">
        <f t="shared" si="2"/>
        <v>0</v>
      </c>
      <c r="D13" s="153">
        <f t="shared" si="3"/>
        <v>-417760</v>
      </c>
      <c r="E13" s="153">
        <f t="shared" si="0"/>
        <v>-428308.96350680524</v>
      </c>
      <c r="F13" s="123">
        <f>+Dashboard!$B$16</f>
        <v>5.0000000000000001E-3</v>
      </c>
      <c r="G13" s="124">
        <f t="shared" si="4"/>
        <v>2.5251253128124374E-2</v>
      </c>
      <c r="H13" s="86"/>
      <c r="I13" s="86"/>
    </row>
    <row r="14" spans="1:12" outlineLevel="1" x14ac:dyDescent="0.25">
      <c r="A14" s="151">
        <v>7</v>
      </c>
      <c r="B14" s="152">
        <f t="shared" si="1"/>
        <v>0</v>
      </c>
      <c r="C14" s="153">
        <f t="shared" si="2"/>
        <v>0</v>
      </c>
      <c r="D14" s="153">
        <f t="shared" si="3"/>
        <v>-417760</v>
      </c>
      <c r="E14" s="153">
        <f t="shared" si="0"/>
        <v>-430450.50832433917</v>
      </c>
      <c r="F14" s="123">
        <f>+Dashboard!$B$16</f>
        <v>5.0000000000000001E-3</v>
      </c>
      <c r="G14" s="124">
        <f t="shared" si="4"/>
        <v>3.0377509393764823E-2</v>
      </c>
      <c r="H14" s="86"/>
      <c r="I14" s="86"/>
    </row>
    <row r="15" spans="1:12" outlineLevel="1" x14ac:dyDescent="0.25">
      <c r="A15" s="151">
        <v>8</v>
      </c>
      <c r="B15" s="152">
        <f t="shared" si="1"/>
        <v>0</v>
      </c>
      <c r="C15" s="153">
        <f t="shared" si="2"/>
        <v>0</v>
      </c>
      <c r="D15" s="153">
        <f t="shared" si="3"/>
        <v>-417760</v>
      </c>
      <c r="E15" s="153">
        <f t="shared" si="0"/>
        <v>-432602.76086596085</v>
      </c>
      <c r="F15" s="123">
        <f>+Dashboard!$B$16</f>
        <v>5.0000000000000001E-3</v>
      </c>
      <c r="G15" s="124">
        <f t="shared" si="4"/>
        <v>3.5529396940733537E-2</v>
      </c>
      <c r="H15" s="86"/>
      <c r="I15" s="86"/>
    </row>
    <row r="16" spans="1:12" outlineLevel="1" x14ac:dyDescent="0.25">
      <c r="A16" s="151">
        <v>9</v>
      </c>
      <c r="B16" s="152">
        <f t="shared" si="1"/>
        <v>0</v>
      </c>
      <c r="C16" s="153">
        <f t="shared" si="2"/>
        <v>0</v>
      </c>
      <c r="D16" s="153">
        <f t="shared" si="3"/>
        <v>-417760</v>
      </c>
      <c r="E16" s="153">
        <f t="shared" si="0"/>
        <v>-434765.77467029059</v>
      </c>
      <c r="F16" s="123">
        <f>+Dashboard!$B$16</f>
        <v>5.0000000000000001E-3</v>
      </c>
      <c r="G16" s="124">
        <f t="shared" si="4"/>
        <v>4.0707043925437114E-2</v>
      </c>
      <c r="H16" s="86"/>
      <c r="I16" s="86"/>
    </row>
    <row r="17" spans="1:9" outlineLevel="1" x14ac:dyDescent="0.25">
      <c r="A17" s="151">
        <v>10</v>
      </c>
      <c r="B17" s="152">
        <f t="shared" si="1"/>
        <v>0</v>
      </c>
      <c r="C17" s="153">
        <f t="shared" si="2"/>
        <v>0</v>
      </c>
      <c r="D17" s="153">
        <f t="shared" si="3"/>
        <v>-417760</v>
      </c>
      <c r="E17" s="153">
        <f t="shared" si="0"/>
        <v>-436939.60354364204</v>
      </c>
      <c r="F17" s="123">
        <f>+Dashboard!$B$16</f>
        <v>5.0000000000000001E-3</v>
      </c>
      <c r="G17" s="124">
        <f t="shared" si="4"/>
        <v>4.5910579145064245E-2</v>
      </c>
      <c r="H17" s="86"/>
      <c r="I17" s="86"/>
    </row>
    <row r="18" spans="1:9" ht="15.75" outlineLevel="1" thickBot="1" x14ac:dyDescent="0.3">
      <c r="A18" s="154">
        <v>11</v>
      </c>
      <c r="B18" s="155">
        <f t="shared" si="1"/>
        <v>0</v>
      </c>
      <c r="C18" s="156">
        <f t="shared" si="2"/>
        <v>0</v>
      </c>
      <c r="D18" s="156">
        <f t="shared" si="3"/>
        <v>-417760</v>
      </c>
      <c r="E18" s="156">
        <f t="shared" si="0"/>
        <v>-439124.30156136019</v>
      </c>
      <c r="F18" s="123">
        <f>+Dashboard!$B$16</f>
        <v>5.0000000000000001E-3</v>
      </c>
      <c r="G18" s="124">
        <f t="shared" si="4"/>
        <v>5.1140132040789377E-2</v>
      </c>
      <c r="H18" s="86"/>
      <c r="I18" s="86"/>
    </row>
    <row r="19" spans="1:9" ht="15.75" thickBot="1" x14ac:dyDescent="0.3">
      <c r="A19" s="145">
        <v>12</v>
      </c>
      <c r="B19" s="146">
        <f>-($I$3/36)-($I$4/3)</f>
        <v>0</v>
      </c>
      <c r="C19" s="147">
        <f t="shared" si="2"/>
        <v>0</v>
      </c>
      <c r="D19" s="147">
        <f t="shared" si="3"/>
        <v>-417760</v>
      </c>
      <c r="E19" s="147">
        <f t="shared" si="0"/>
        <v>-441319.92306916695</v>
      </c>
      <c r="F19" s="123">
        <f>+Dashboard!$B$16</f>
        <v>5.0000000000000001E-3</v>
      </c>
      <c r="G19" s="124">
        <f t="shared" si="4"/>
        <v>5.6395832700993243E-2</v>
      </c>
      <c r="H19" s="86"/>
      <c r="I19" s="86"/>
    </row>
    <row r="20" spans="1:9" outlineLevel="1" x14ac:dyDescent="0.25">
      <c r="A20" s="148">
        <v>13</v>
      </c>
      <c r="B20" s="149">
        <f t="shared" ref="B20:B30" si="5">-$I$3/36</f>
        <v>0</v>
      </c>
      <c r="C20" s="150">
        <f t="shared" si="2"/>
        <v>0</v>
      </c>
      <c r="D20" s="150">
        <f t="shared" si="3"/>
        <v>-417760</v>
      </c>
      <c r="E20" s="150">
        <f t="shared" si="0"/>
        <v>-443526.52268451272</v>
      </c>
      <c r="F20" s="123">
        <f>+Dashboard!$B$16</f>
        <v>5.0000000000000001E-3</v>
      </c>
      <c r="G20" s="124">
        <f t="shared" si="4"/>
        <v>6.1677811864498056E-2</v>
      </c>
      <c r="H20" s="86"/>
      <c r="I20" s="86"/>
    </row>
    <row r="21" spans="1:9" outlineLevel="1" x14ac:dyDescent="0.25">
      <c r="A21" s="151">
        <v>14</v>
      </c>
      <c r="B21" s="152">
        <f t="shared" si="5"/>
        <v>0</v>
      </c>
      <c r="C21" s="153">
        <f t="shared" si="2"/>
        <v>0</v>
      </c>
      <c r="D21" s="153">
        <f t="shared" si="3"/>
        <v>-417760</v>
      </c>
      <c r="E21" s="153">
        <f t="shared" si="0"/>
        <v>-445744.15529793524</v>
      </c>
      <c r="F21" s="123">
        <f>+Dashboard!$B$16</f>
        <v>5.0000000000000001E-3</v>
      </c>
      <c r="G21" s="124">
        <f t="shared" si="4"/>
        <v>6.698620092382046E-2</v>
      </c>
      <c r="H21" s="86"/>
      <c r="I21" s="86"/>
    </row>
    <row r="22" spans="1:9" outlineLevel="1" x14ac:dyDescent="0.25">
      <c r="A22" s="151">
        <v>15</v>
      </c>
      <c r="B22" s="152">
        <f t="shared" si="5"/>
        <v>0</v>
      </c>
      <c r="C22" s="153">
        <f t="shared" si="2"/>
        <v>0</v>
      </c>
      <c r="D22" s="153">
        <f t="shared" si="3"/>
        <v>-417760</v>
      </c>
      <c r="E22" s="153">
        <f t="shared" si="0"/>
        <v>-447972.87607442483</v>
      </c>
      <c r="F22" s="123">
        <f>+Dashboard!$B$16</f>
        <v>5.0000000000000001E-3</v>
      </c>
      <c r="G22" s="124">
        <f t="shared" si="4"/>
        <v>7.2321131928439364E-2</v>
      </c>
      <c r="H22" s="86"/>
      <c r="I22" s="86"/>
    </row>
    <row r="23" spans="1:9" outlineLevel="1" x14ac:dyDescent="0.25">
      <c r="A23" s="151">
        <v>16</v>
      </c>
      <c r="B23" s="152">
        <f t="shared" si="5"/>
        <v>0</v>
      </c>
      <c r="C23" s="153">
        <f t="shared" si="2"/>
        <v>0</v>
      </c>
      <c r="D23" s="153">
        <f t="shared" si="3"/>
        <v>-417760</v>
      </c>
      <c r="E23" s="153">
        <f t="shared" si="0"/>
        <v>-450212.74045479693</v>
      </c>
      <c r="F23" s="123">
        <f>+Dashboard!$B$16</f>
        <v>5.0000000000000001E-3</v>
      </c>
      <c r="G23" s="124">
        <f t="shared" si="4"/>
        <v>7.768273758808153E-2</v>
      </c>
      <c r="H23" s="86"/>
      <c r="I23" s="86"/>
    </row>
    <row r="24" spans="1:9" outlineLevel="1" x14ac:dyDescent="0.25">
      <c r="A24" s="151">
        <v>17</v>
      </c>
      <c r="B24" s="152">
        <f t="shared" si="5"/>
        <v>0</v>
      </c>
      <c r="C24" s="153">
        <f t="shared" si="2"/>
        <v>0</v>
      </c>
      <c r="D24" s="153">
        <f t="shared" si="3"/>
        <v>-417760</v>
      </c>
      <c r="E24" s="153">
        <f t="shared" si="0"/>
        <v>-452463.80415707087</v>
      </c>
      <c r="F24" s="123">
        <f>+Dashboard!$B$16</f>
        <v>5.0000000000000001E-3</v>
      </c>
      <c r="G24" s="124">
        <f t="shared" si="4"/>
        <v>8.3071151276021826E-2</v>
      </c>
      <c r="H24" s="86"/>
      <c r="I24" s="86"/>
    </row>
    <row r="25" spans="1:9" outlineLevel="1" x14ac:dyDescent="0.25">
      <c r="A25" s="151">
        <v>18</v>
      </c>
      <c r="B25" s="152">
        <f t="shared" si="5"/>
        <v>0</v>
      </c>
      <c r="C25" s="153">
        <f t="shared" si="2"/>
        <v>0</v>
      </c>
      <c r="D25" s="153">
        <f t="shared" si="3"/>
        <v>-417760</v>
      </c>
      <c r="E25" s="153">
        <f t="shared" si="0"/>
        <v>-454726.12317785621</v>
      </c>
      <c r="F25" s="123">
        <f>+Dashboard!$B$16</f>
        <v>5.0000000000000001E-3</v>
      </c>
      <c r="G25" s="124">
        <f t="shared" si="4"/>
        <v>8.8486507032401907E-2</v>
      </c>
      <c r="H25" s="86"/>
      <c r="I25" s="86"/>
    </row>
    <row r="26" spans="1:9" outlineLevel="1" x14ac:dyDescent="0.25">
      <c r="A26" s="151">
        <v>19</v>
      </c>
      <c r="B26" s="152">
        <f t="shared" si="5"/>
        <v>0</v>
      </c>
      <c r="C26" s="153">
        <f t="shared" si="2"/>
        <v>0</v>
      </c>
      <c r="D26" s="153">
        <f t="shared" si="3"/>
        <v>-417760</v>
      </c>
      <c r="E26" s="153">
        <f t="shared" si="0"/>
        <v>-456999.75379374542</v>
      </c>
      <c r="F26" s="123">
        <f>+Dashboard!$B$16</f>
        <v>5.0000000000000001E-3</v>
      </c>
      <c r="G26" s="124">
        <f t="shared" si="4"/>
        <v>9.3928939567563763E-2</v>
      </c>
      <c r="H26" s="86"/>
      <c r="I26" s="86"/>
    </row>
    <row r="27" spans="1:9" outlineLevel="1" x14ac:dyDescent="0.25">
      <c r="A27" s="151">
        <v>20</v>
      </c>
      <c r="B27" s="152">
        <f t="shared" si="5"/>
        <v>0</v>
      </c>
      <c r="C27" s="153">
        <f t="shared" si="2"/>
        <v>0</v>
      </c>
      <c r="D27" s="153">
        <f t="shared" si="3"/>
        <v>-417760</v>
      </c>
      <c r="E27" s="153">
        <f t="shared" si="0"/>
        <v>-459284.7525627141</v>
      </c>
      <c r="F27" s="123">
        <f>+Dashboard!$B$16</f>
        <v>5.0000000000000001E-3</v>
      </c>
      <c r="G27" s="124">
        <f t="shared" si="4"/>
        <v>9.9398584265401491E-2</v>
      </c>
      <c r="H27" s="86"/>
      <c r="I27" s="86"/>
    </row>
    <row r="28" spans="1:9" outlineLevel="1" x14ac:dyDescent="0.25">
      <c r="A28" s="151">
        <v>21</v>
      </c>
      <c r="B28" s="152">
        <f t="shared" si="5"/>
        <v>0</v>
      </c>
      <c r="C28" s="153">
        <f t="shared" si="2"/>
        <v>0</v>
      </c>
      <c r="D28" s="153">
        <f t="shared" si="3"/>
        <v>-417760</v>
      </c>
      <c r="E28" s="153">
        <f t="shared" si="0"/>
        <v>-461581.17632552766</v>
      </c>
      <c r="F28" s="123">
        <f>+Dashboard!$B$16</f>
        <v>5.0000000000000001E-3</v>
      </c>
      <c r="G28" s="124">
        <f t="shared" si="4"/>
        <v>0.10489557718672837</v>
      </c>
      <c r="H28" s="86"/>
      <c r="I28" s="86"/>
    </row>
    <row r="29" spans="1:9" outlineLevel="1" x14ac:dyDescent="0.25">
      <c r="A29" s="151">
        <v>22</v>
      </c>
      <c r="B29" s="152">
        <f t="shared" si="5"/>
        <v>0</v>
      </c>
      <c r="C29" s="153">
        <f t="shared" si="2"/>
        <v>0</v>
      </c>
      <c r="D29" s="153">
        <f t="shared" si="3"/>
        <v>-417760</v>
      </c>
      <c r="E29" s="153">
        <f t="shared" si="0"/>
        <v>-463889.08220715524</v>
      </c>
      <c r="F29" s="123">
        <f>+Dashboard!$B$16</f>
        <v>5.0000000000000001E-3</v>
      </c>
      <c r="G29" s="124">
        <f t="shared" si="4"/>
        <v>0.11042005507266195</v>
      </c>
      <c r="H29" s="86"/>
      <c r="I29" s="86"/>
    </row>
    <row r="30" spans="1:9" ht="15.75" outlineLevel="1" thickBot="1" x14ac:dyDescent="0.3">
      <c r="A30" s="154">
        <v>23</v>
      </c>
      <c r="B30" s="155">
        <f t="shared" si="5"/>
        <v>0</v>
      </c>
      <c r="C30" s="156">
        <f t="shared" si="2"/>
        <v>0</v>
      </c>
      <c r="D30" s="156">
        <f t="shared" si="3"/>
        <v>-417760</v>
      </c>
      <c r="E30" s="156">
        <f t="shared" si="0"/>
        <v>-466208.52761819097</v>
      </c>
      <c r="F30" s="123">
        <f>+Dashboard!$B$16</f>
        <v>5.0000000000000001E-3</v>
      </c>
      <c r="G30" s="124">
        <f t="shared" si="4"/>
        <v>0.11597215534802507</v>
      </c>
      <c r="H30" s="86"/>
      <c r="I30" s="86"/>
    </row>
    <row r="31" spans="1:9" ht="15.75" thickBot="1" x14ac:dyDescent="0.3">
      <c r="A31" s="145">
        <v>24</v>
      </c>
      <c r="B31" s="146">
        <f>-($I$3/36)-($I$4/3)</f>
        <v>0</v>
      </c>
      <c r="C31" s="147">
        <f t="shared" si="2"/>
        <v>0</v>
      </c>
      <c r="D31" s="147">
        <f t="shared" si="3"/>
        <v>-417760</v>
      </c>
      <c r="E31" s="147">
        <f t="shared" si="0"/>
        <v>-468539.57025628188</v>
      </c>
      <c r="F31" s="123">
        <f>+Dashboard!$B$16</f>
        <v>5.0000000000000001E-3</v>
      </c>
      <c r="G31" s="124">
        <f t="shared" si="4"/>
        <v>0.12155201612476518</v>
      </c>
      <c r="H31" s="86"/>
      <c r="I31" s="86"/>
    </row>
    <row r="32" spans="1:9" outlineLevel="1" x14ac:dyDescent="0.25">
      <c r="A32" s="148">
        <v>25</v>
      </c>
      <c r="B32" s="149">
        <f t="shared" ref="B32:B42" si="6">-$I$3/36</f>
        <v>0</v>
      </c>
      <c r="C32" s="150">
        <f t="shared" si="2"/>
        <v>0</v>
      </c>
      <c r="D32" s="150">
        <f t="shared" si="3"/>
        <v>-417760</v>
      </c>
      <c r="E32" s="150">
        <f t="shared" si="0"/>
        <v>-470882.26810756326</v>
      </c>
      <c r="F32" s="123">
        <f>+Dashboard!$B$16</f>
        <v>5.0000000000000001E-3</v>
      </c>
      <c r="G32" s="124">
        <f t="shared" si="4"/>
        <v>0.12715977620538887</v>
      </c>
      <c r="H32" s="86"/>
      <c r="I32" s="86"/>
    </row>
    <row r="33" spans="1:9" outlineLevel="1" x14ac:dyDescent="0.25">
      <c r="A33" s="151">
        <v>26</v>
      </c>
      <c r="B33" s="152">
        <f t="shared" si="6"/>
        <v>0</v>
      </c>
      <c r="C33" s="153">
        <f t="shared" si="2"/>
        <v>0</v>
      </c>
      <c r="D33" s="153">
        <f t="shared" si="3"/>
        <v>-417760</v>
      </c>
      <c r="E33" s="153">
        <f t="shared" si="0"/>
        <v>-473236.67944810097</v>
      </c>
      <c r="F33" s="123">
        <f>+Dashboard!$B$16</f>
        <v>5.0000000000000001E-3</v>
      </c>
      <c r="G33" s="124">
        <f t="shared" si="4"/>
        <v>0.1327955750864156</v>
      </c>
      <c r="H33" s="86"/>
      <c r="I33" s="86"/>
    </row>
    <row r="34" spans="1:9" outlineLevel="1" x14ac:dyDescent="0.25">
      <c r="A34" s="151">
        <v>27</v>
      </c>
      <c r="B34" s="152">
        <f t="shared" si="6"/>
        <v>0</v>
      </c>
      <c r="C34" s="153">
        <f t="shared" si="2"/>
        <v>0</v>
      </c>
      <c r="D34" s="153">
        <f t="shared" si="3"/>
        <v>-417760</v>
      </c>
      <c r="E34" s="153">
        <f t="shared" si="0"/>
        <v>-475602.86284534144</v>
      </c>
      <c r="F34" s="123">
        <f>+Dashboard!$B$16</f>
        <v>5.0000000000000001E-3</v>
      </c>
      <c r="G34" s="124">
        <f t="shared" si="4"/>
        <v>0.13845955296184753</v>
      </c>
      <c r="H34" s="86"/>
      <c r="I34" s="86"/>
    </row>
    <row r="35" spans="1:9" outlineLevel="1" x14ac:dyDescent="0.25">
      <c r="A35" s="151">
        <v>28</v>
      </c>
      <c r="B35" s="152">
        <f t="shared" si="6"/>
        <v>0</v>
      </c>
      <c r="C35" s="153">
        <f t="shared" si="2"/>
        <v>0</v>
      </c>
      <c r="D35" s="153">
        <f t="shared" si="3"/>
        <v>-417760</v>
      </c>
      <c r="E35" s="153">
        <f t="shared" si="0"/>
        <v>-477980.87715956807</v>
      </c>
      <c r="F35" s="123">
        <f>+Dashboard!$B$16</f>
        <v>5.0000000000000001E-3</v>
      </c>
      <c r="G35" s="124">
        <f t="shared" si="4"/>
        <v>0.14415185072665659</v>
      </c>
      <c r="H35" s="86"/>
      <c r="I35" s="86"/>
    </row>
    <row r="36" spans="1:9" outlineLevel="1" x14ac:dyDescent="0.25">
      <c r="A36" s="151">
        <v>29</v>
      </c>
      <c r="B36" s="152">
        <f t="shared" si="6"/>
        <v>0</v>
      </c>
      <c r="C36" s="153">
        <f t="shared" si="2"/>
        <v>0</v>
      </c>
      <c r="D36" s="153">
        <f t="shared" si="3"/>
        <v>-417760</v>
      </c>
      <c r="E36" s="153">
        <f t="shared" si="0"/>
        <v>-480370.78154536587</v>
      </c>
      <c r="F36" s="123">
        <f>+Dashboard!$B$16</f>
        <v>5.0000000000000001E-3</v>
      </c>
      <c r="G36" s="124">
        <f t="shared" si="4"/>
        <v>0.14987260998028984</v>
      </c>
      <c r="H36" s="86"/>
      <c r="I36" s="86"/>
    </row>
    <row r="37" spans="1:9" outlineLevel="1" x14ac:dyDescent="0.25">
      <c r="A37" s="151">
        <v>30</v>
      </c>
      <c r="B37" s="152">
        <f t="shared" si="6"/>
        <v>0</v>
      </c>
      <c r="C37" s="153">
        <f t="shared" si="2"/>
        <v>0</v>
      </c>
      <c r="D37" s="153">
        <f t="shared" si="3"/>
        <v>-417760</v>
      </c>
      <c r="E37" s="153">
        <f t="shared" si="0"/>
        <v>-482772.63545309263</v>
      </c>
      <c r="F37" s="123">
        <f>+Dashboard!$B$16</f>
        <v>5.0000000000000001E-3</v>
      </c>
      <c r="G37" s="124">
        <f t="shared" si="4"/>
        <v>0.1556219730301911</v>
      </c>
      <c r="H37" s="86"/>
      <c r="I37" s="86"/>
    </row>
    <row r="38" spans="1:9" outlineLevel="1" x14ac:dyDescent="0.25">
      <c r="A38" s="151">
        <v>31</v>
      </c>
      <c r="B38" s="152">
        <f t="shared" si="6"/>
        <v>0</v>
      </c>
      <c r="C38" s="153">
        <f t="shared" si="2"/>
        <v>0</v>
      </c>
      <c r="D38" s="153">
        <f t="shared" si="3"/>
        <v>-417760</v>
      </c>
      <c r="E38" s="153">
        <f t="shared" si="0"/>
        <v>-485186.49863035802</v>
      </c>
      <c r="F38" s="123">
        <f>+Dashboard!$B$16</f>
        <v>5.0000000000000001E-3</v>
      </c>
      <c r="G38" s="124">
        <f t="shared" si="4"/>
        <v>0.16140008289534191</v>
      </c>
      <c r="H38" s="86"/>
      <c r="I38" s="86"/>
    </row>
    <row r="39" spans="1:9" outlineLevel="1" x14ac:dyDescent="0.25">
      <c r="A39" s="151">
        <v>32</v>
      </c>
      <c r="B39" s="152">
        <f t="shared" si="6"/>
        <v>0</v>
      </c>
      <c r="C39" s="153">
        <f t="shared" si="2"/>
        <v>0</v>
      </c>
      <c r="D39" s="153">
        <f t="shared" si="3"/>
        <v>-417760</v>
      </c>
      <c r="E39" s="153">
        <f t="shared" si="0"/>
        <v>-487612.43112350977</v>
      </c>
      <c r="F39" s="123">
        <f>+Dashboard!$B$16</f>
        <v>5.0000000000000001E-3</v>
      </c>
      <c r="G39" s="124">
        <f t="shared" si="4"/>
        <v>0.16720708330981848</v>
      </c>
      <c r="H39" s="86"/>
      <c r="I39" s="86"/>
    </row>
    <row r="40" spans="1:9" outlineLevel="1" x14ac:dyDescent="0.25">
      <c r="A40" s="151">
        <v>33</v>
      </c>
      <c r="B40" s="152">
        <f t="shared" si="6"/>
        <v>0</v>
      </c>
      <c r="C40" s="153">
        <f t="shared" si="2"/>
        <v>0</v>
      </c>
      <c r="D40" s="153">
        <f t="shared" si="3"/>
        <v>-417760</v>
      </c>
      <c r="E40" s="153">
        <f t="shared" si="0"/>
        <v>-490050.49327912729</v>
      </c>
      <c r="F40" s="123">
        <f>+Dashboard!$B$16</f>
        <v>5.0000000000000001E-3</v>
      </c>
      <c r="G40" s="124">
        <f t="shared" si="4"/>
        <v>0.17304311872636746</v>
      </c>
      <c r="H40" s="86"/>
      <c r="I40" s="86"/>
    </row>
    <row r="41" spans="1:9" outlineLevel="1" x14ac:dyDescent="0.25">
      <c r="A41" s="151">
        <v>34</v>
      </c>
      <c r="B41" s="152">
        <f t="shared" si="6"/>
        <v>0</v>
      </c>
      <c r="C41" s="153">
        <f t="shared" si="2"/>
        <v>0</v>
      </c>
      <c r="D41" s="153">
        <f t="shared" si="3"/>
        <v>-417760</v>
      </c>
      <c r="E41" s="153">
        <f t="shared" si="0"/>
        <v>-492500.74574552284</v>
      </c>
      <c r="F41" s="123">
        <f>+Dashboard!$B$16</f>
        <v>5.0000000000000001E-3</v>
      </c>
      <c r="G41" s="124">
        <f t="shared" si="4"/>
        <v>0.17890833431999908</v>
      </c>
      <c r="H41" s="86"/>
      <c r="I41" s="86"/>
    </row>
    <row r="42" spans="1:9" ht="15.75" outlineLevel="1" thickBot="1" x14ac:dyDescent="0.3">
      <c r="A42" s="154">
        <v>35</v>
      </c>
      <c r="B42" s="155">
        <f t="shared" si="6"/>
        <v>0</v>
      </c>
      <c r="C42" s="156">
        <f t="shared" si="2"/>
        <v>0</v>
      </c>
      <c r="D42" s="156">
        <f t="shared" si="3"/>
        <v>-417760</v>
      </c>
      <c r="E42" s="156">
        <f t="shared" si="0"/>
        <v>-494963.24947425036</v>
      </c>
      <c r="F42" s="123">
        <f>+Dashboard!$B$16</f>
        <v>5.0000000000000001E-3</v>
      </c>
      <c r="G42" s="124">
        <f t="shared" si="4"/>
        <v>0.18480287599159895</v>
      </c>
      <c r="H42" s="86"/>
      <c r="I42" s="86"/>
    </row>
    <row r="43" spans="1:9" ht="15.75" thickBot="1" x14ac:dyDescent="0.3">
      <c r="A43" s="145">
        <v>36</v>
      </c>
      <c r="B43" s="146">
        <f>-($I$3/36)-($I$4/3)-$I$5</f>
        <v>0</v>
      </c>
      <c r="C43" s="147">
        <f t="shared" si="2"/>
        <v>0</v>
      </c>
      <c r="D43" s="147">
        <f t="shared" si="3"/>
        <v>-417760</v>
      </c>
      <c r="E43" s="147">
        <f t="shared" si="0"/>
        <v>-497438.06572162162</v>
      </c>
      <c r="F43" s="123">
        <f>+Dashboard!$B$16</f>
        <v>5.0000000000000001E-3</v>
      </c>
      <c r="G43" s="124">
        <f t="shared" si="4"/>
        <v>0.19072689037155688</v>
      </c>
      <c r="H43" s="86"/>
      <c r="I43" s="86"/>
    </row>
  </sheetData>
  <sheetProtection algorithmName="SHA-512" hashValue="2HgIa6eVRLWynk/Og62AGZXb+yp/gc5+kMN+ghlXlFtu+2H+MQEUVif5UTelc1Z6jlaUkwdxyO7U/TckCpk5AQ==" saltValue="EGN9+62k4vDCW9/9OGoNww==" spinCount="100000" sheet="1" objects="1" scenarios="1"/>
  <dataValidations disablePrompts="1" count="1">
    <dataValidation type="list" allowBlank="1" showInputMessage="1" showErrorMessage="1" sqref="A2" xr:uid="{BC8F152F-FF9D-4CEB-A8B4-92BCB471AFF3}">
      <formula1>"1,2,3,4,5,6,7,8,9,10"</formula1>
    </dataValidation>
  </dataValidations>
  <printOptions horizontalCentered="1"/>
  <pageMargins left="0.11811023622047245" right="0.11811023622047245" top="0.78740157480314965" bottom="0.78740157480314965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3274B-F378-4B93-9AC9-0D4DFF0A81D3}">
  <sheetPr codeName="Planilha4">
    <pageSetUpPr fitToPage="1"/>
  </sheetPr>
  <dimension ref="A1:T389"/>
  <sheetViews>
    <sheetView showGridLines="0" workbookViewId="0">
      <pane xSplit="1" ySplit="6" topLeftCell="B151" activePane="bottomRight" state="frozen"/>
      <selection pane="topRight" activeCell="B1" sqref="B1"/>
      <selection pane="bottomLeft" activeCell="A7" sqref="A7"/>
      <selection pane="bottomRight" activeCell="F4" sqref="F4"/>
    </sheetView>
  </sheetViews>
  <sheetFormatPr defaultColWidth="10.28515625" defaultRowHeight="15" outlineLevelRow="1" x14ac:dyDescent="0.25"/>
  <cols>
    <col min="1" max="1" width="6.42578125" style="60" bestFit="1" customWidth="1"/>
    <col min="2" max="2" width="10.42578125" style="60" bestFit="1" customWidth="1"/>
    <col min="3" max="3" width="12.140625" style="60" bestFit="1" customWidth="1"/>
    <col min="4" max="4" width="10.140625" style="60" bestFit="1" customWidth="1"/>
    <col min="5" max="5" width="16" style="65" bestFit="1" customWidth="1"/>
    <col min="6" max="6" width="12.5703125" style="70" customWidth="1"/>
    <col min="7" max="7" width="10.42578125" style="60" bestFit="1" customWidth="1"/>
    <col min="8" max="8" width="12.140625" style="60" bestFit="1" customWidth="1"/>
    <col min="9" max="9" width="10.140625" style="60" bestFit="1" customWidth="1"/>
    <col min="10" max="10" width="16" style="65" bestFit="1" customWidth="1"/>
    <col min="11" max="11" width="10.28515625" style="60"/>
    <col min="12" max="12" width="13.140625" style="60" bestFit="1" customWidth="1"/>
    <col min="13" max="13" width="14.28515625" style="60" bestFit="1" customWidth="1"/>
    <col min="14" max="14" width="10.140625" style="60" bestFit="1" customWidth="1"/>
    <col min="15" max="15" width="15.28515625" style="65" bestFit="1" customWidth="1"/>
    <col min="16" max="16" width="12.85546875" style="60" customWidth="1"/>
    <col min="17" max="17" width="11.28515625" style="60" bestFit="1" customWidth="1"/>
    <col min="18" max="16384" width="10.28515625" style="60"/>
  </cols>
  <sheetData>
    <row r="1" spans="1:20" x14ac:dyDescent="0.25">
      <c r="B1" s="61" t="s">
        <v>27</v>
      </c>
      <c r="C1" s="62">
        <f>+Dashboard!B25</f>
        <v>0.12</v>
      </c>
      <c r="D1" s="61"/>
      <c r="E1" s="63" t="s">
        <v>28</v>
      </c>
      <c r="F1" s="64">
        <f>+Dashboard!B13</f>
        <v>417760</v>
      </c>
      <c r="G1" s="61"/>
      <c r="H1" s="62"/>
      <c r="I1" s="61"/>
      <c r="J1" s="63"/>
    </row>
    <row r="2" spans="1:20" x14ac:dyDescent="0.25">
      <c r="B2" s="61" t="s">
        <v>26</v>
      </c>
      <c r="C2" s="66">
        <f>((C1+1)^(1/12))-1</f>
        <v>9.4887929345830457E-3</v>
      </c>
      <c r="D2" s="61"/>
      <c r="E2" s="63" t="s">
        <v>29</v>
      </c>
      <c r="F2" s="64">
        <f>+F1</f>
        <v>417760</v>
      </c>
      <c r="G2" s="61"/>
      <c r="H2" s="66"/>
      <c r="I2" s="61"/>
      <c r="J2" s="63"/>
      <c r="M2" s="67"/>
    </row>
    <row r="3" spans="1:20" x14ac:dyDescent="0.25">
      <c r="B3" s="61" t="s">
        <v>30</v>
      </c>
      <c r="C3" s="68">
        <f>+Dashboard!B27</f>
        <v>360</v>
      </c>
      <c r="D3" s="61"/>
      <c r="E3" s="63"/>
      <c r="F3" s="64"/>
      <c r="G3" s="61"/>
      <c r="H3" s="69"/>
      <c r="I3" s="61"/>
      <c r="J3" s="63"/>
    </row>
    <row r="4" spans="1:20" ht="15.75" thickBot="1" x14ac:dyDescent="0.3"/>
    <row r="5" spans="1:20" ht="15.75" customHeight="1" thickBot="1" x14ac:dyDescent="0.3">
      <c r="B5" s="184" t="s">
        <v>31</v>
      </c>
      <c r="C5" s="185"/>
      <c r="D5" s="185"/>
      <c r="E5" s="186"/>
      <c r="G5" s="184" t="s">
        <v>32</v>
      </c>
      <c r="H5" s="185"/>
      <c r="I5" s="185"/>
      <c r="J5" s="186"/>
      <c r="L5" s="184" t="s">
        <v>37</v>
      </c>
      <c r="M5" s="185"/>
      <c r="N5" s="185"/>
      <c r="O5" s="186"/>
      <c r="Q5" s="67"/>
    </row>
    <row r="6" spans="1:20" ht="15.75" x14ac:dyDescent="0.25">
      <c r="A6" s="69" t="s">
        <v>0</v>
      </c>
      <c r="B6" s="69" t="s">
        <v>23</v>
      </c>
      <c r="C6" s="69" t="s">
        <v>24</v>
      </c>
      <c r="D6" s="69" t="s">
        <v>22</v>
      </c>
      <c r="E6" s="69" t="s">
        <v>25</v>
      </c>
      <c r="F6" s="64"/>
      <c r="G6" s="69" t="s">
        <v>23</v>
      </c>
      <c r="H6" s="69" t="s">
        <v>24</v>
      </c>
      <c r="I6" s="69" t="s">
        <v>22</v>
      </c>
      <c r="J6" s="69" t="s">
        <v>25</v>
      </c>
      <c r="K6" s="71"/>
      <c r="L6" s="72" t="s">
        <v>33</v>
      </c>
      <c r="M6" s="72" t="s">
        <v>34</v>
      </c>
      <c r="N6" s="72" t="s">
        <v>35</v>
      </c>
      <c r="O6" s="72" t="s">
        <v>36</v>
      </c>
      <c r="Q6" s="67"/>
      <c r="S6" s="67"/>
    </row>
    <row r="7" spans="1:20" s="61" customFormat="1" x14ac:dyDescent="0.25">
      <c r="A7" s="69">
        <v>1</v>
      </c>
      <c r="B7" s="73">
        <f>+D7+C7</f>
        <v>4100.918274350438</v>
      </c>
      <c r="C7" s="73">
        <f t="shared" ref="C7:C70" si="0">IF(A7&gt;$C$3,0,PPMT($C$2,A7,$C$3,-$F$1))</f>
        <v>136.88013799902444</v>
      </c>
      <c r="D7" s="73">
        <f>+F1*C2</f>
        <v>3964.0381363514134</v>
      </c>
      <c r="E7" s="73">
        <f>+F1-C7</f>
        <v>417623.11986200098</v>
      </c>
      <c r="F7" s="64"/>
      <c r="G7" s="73">
        <f>+I7+H7</f>
        <v>5124.4825807958578</v>
      </c>
      <c r="H7" s="73">
        <f>IF(A7&gt;$C$3,0,+$F$2/$C$3)</f>
        <v>1160.4444444444443</v>
      </c>
      <c r="I7" s="73">
        <f>+F2*$C$2</f>
        <v>3964.0381363514134</v>
      </c>
      <c r="J7" s="73">
        <f>+$F$2-H7</f>
        <v>416599.55555555556</v>
      </c>
      <c r="K7" s="69"/>
      <c r="L7" s="73">
        <f>+M7+N7</f>
        <v>5124.4825807958578</v>
      </c>
      <c r="M7" s="73">
        <f>+F1/C3</f>
        <v>1160.4444444444443</v>
      </c>
      <c r="N7" s="73">
        <f>+$F$1*($C$2)</f>
        <v>3964.0381363514134</v>
      </c>
      <c r="O7" s="73">
        <f>+F1-M7</f>
        <v>416599.55555555556</v>
      </c>
      <c r="T7" s="74"/>
    </row>
    <row r="8" spans="1:20" outlineLevel="1" x14ac:dyDescent="0.25">
      <c r="A8" s="71">
        <v>2</v>
      </c>
      <c r="B8" s="75">
        <f>+D8+C8</f>
        <v>4100.918274350438</v>
      </c>
      <c r="C8" s="75">
        <f t="shared" si="0"/>
        <v>138.17896528535434</v>
      </c>
      <c r="D8" s="75">
        <f t="shared" ref="D8:D72" si="1">+E7*$C$2</f>
        <v>3962.7393090650835</v>
      </c>
      <c r="E8" s="75">
        <f>+E7-C8</f>
        <v>417484.94089671562</v>
      </c>
      <c r="G8" s="75">
        <f t="shared" ref="G8:G71" si="2">+I8+H8</f>
        <v>5113.4713637504374</v>
      </c>
      <c r="H8" s="75">
        <f t="shared" ref="H8:H71" si="3">IF(A8&gt;$C$3,0,+$F$2/$C$3)</f>
        <v>1160.4444444444443</v>
      </c>
      <c r="I8" s="75">
        <f>+J7*$C$2</f>
        <v>3953.0269193059926</v>
      </c>
      <c r="J8" s="75">
        <f>+J7-H8</f>
        <v>415439.11111111112</v>
      </c>
      <c r="K8" s="71"/>
      <c r="L8" s="75">
        <f>+L7</f>
        <v>5124.4825807958578</v>
      </c>
      <c r="M8" s="75">
        <f>+L8-N8</f>
        <v>1171.4556614898652</v>
      </c>
      <c r="N8" s="75">
        <f>IF(A8&gt;$C$3,0,+O7*($C$2))</f>
        <v>3953.0269193059926</v>
      </c>
      <c r="O8" s="75">
        <f>IF(A8&gt;$C$3,0,+O7-M8)</f>
        <v>415428.0998940657</v>
      </c>
      <c r="T8" s="67"/>
    </row>
    <row r="9" spans="1:20" outlineLevel="1" x14ac:dyDescent="0.25">
      <c r="A9" s="71">
        <v>3</v>
      </c>
      <c r="B9" s="75">
        <f>+D9+C9</f>
        <v>4100.9182743504371</v>
      </c>
      <c r="C9" s="75">
        <f t="shared" si="0"/>
        <v>139.490116874862</v>
      </c>
      <c r="D9" s="75">
        <f t="shared" si="1"/>
        <v>3961.4281574755755</v>
      </c>
      <c r="E9" s="75">
        <f t="shared" ref="E9:E72" si="4">+E8-C9</f>
        <v>417345.45077984076</v>
      </c>
      <c r="G9" s="75">
        <f t="shared" si="2"/>
        <v>5102.4601467050161</v>
      </c>
      <c r="H9" s="75">
        <f t="shared" si="3"/>
        <v>1160.4444444444443</v>
      </c>
      <c r="I9" s="75">
        <f t="shared" ref="I9:I72" si="5">+J8*$C$2</f>
        <v>3942.0157022605722</v>
      </c>
      <c r="J9" s="75">
        <f t="shared" ref="J9:J72" si="6">+J8-H9</f>
        <v>414278.66666666669</v>
      </c>
      <c r="K9" s="71"/>
      <c r="L9" s="75">
        <f t="shared" ref="L9:L72" si="7">+L8</f>
        <v>5124.4825807958578</v>
      </c>
      <c r="M9" s="75">
        <f t="shared" ref="M9:M72" si="8">+L9-N9</f>
        <v>1182.5713616937874</v>
      </c>
      <c r="N9" s="75">
        <f t="shared" ref="N9:N72" si="9">IF(A9&gt;$C$3,0,+O8*($C$2))</f>
        <v>3941.9112191020704</v>
      </c>
      <c r="O9" s="75">
        <f t="shared" ref="O9:O71" si="10">IF(A9&gt;$C$3,0,+O8-M9)</f>
        <v>414245.52853237191</v>
      </c>
      <c r="T9" s="67"/>
    </row>
    <row r="10" spans="1:20" outlineLevel="1" x14ac:dyDescent="0.25">
      <c r="A10" s="71">
        <v>4</v>
      </c>
      <c r="B10" s="75">
        <f t="shared" ref="B10:B71" si="11">+D10+C10</f>
        <v>4100.918274350438</v>
      </c>
      <c r="C10" s="75">
        <f t="shared" si="0"/>
        <v>140.81370971030833</v>
      </c>
      <c r="D10" s="75">
        <f t="shared" si="1"/>
        <v>3960.1045646401294</v>
      </c>
      <c r="E10" s="75">
        <f t="shared" si="4"/>
        <v>417204.63707013044</v>
      </c>
      <c r="G10" s="75">
        <f t="shared" si="2"/>
        <v>5091.4489296595966</v>
      </c>
      <c r="H10" s="75">
        <f t="shared" si="3"/>
        <v>1160.4444444444443</v>
      </c>
      <c r="I10" s="75">
        <f t="shared" si="5"/>
        <v>3931.0044852151518</v>
      </c>
      <c r="J10" s="75">
        <f t="shared" si="6"/>
        <v>413118.22222222225</v>
      </c>
      <c r="K10" s="71"/>
      <c r="L10" s="75">
        <f t="shared" si="7"/>
        <v>5124.4825807958578</v>
      </c>
      <c r="M10" s="75">
        <f t="shared" si="8"/>
        <v>1193.7925364752678</v>
      </c>
      <c r="N10" s="75">
        <f t="shared" si="9"/>
        <v>3930.69004432059</v>
      </c>
      <c r="O10" s="75">
        <f t="shared" si="10"/>
        <v>413051.73599589663</v>
      </c>
      <c r="T10" s="67"/>
    </row>
    <row r="11" spans="1:20" outlineLevel="1" x14ac:dyDescent="0.25">
      <c r="A11" s="71">
        <v>5</v>
      </c>
      <c r="B11" s="75">
        <f t="shared" si="11"/>
        <v>4100.9182743504371</v>
      </c>
      <c r="C11" s="75">
        <f t="shared" si="0"/>
        <v>142.14986184409992</v>
      </c>
      <c r="D11" s="75">
        <f t="shared" si="1"/>
        <v>3958.7684125063374</v>
      </c>
      <c r="E11" s="75">
        <f t="shared" si="4"/>
        <v>417062.48720828636</v>
      </c>
      <c r="G11" s="75">
        <f t="shared" si="2"/>
        <v>5080.4377126141753</v>
      </c>
      <c r="H11" s="75">
        <f t="shared" si="3"/>
        <v>1160.4444444444443</v>
      </c>
      <c r="I11" s="75">
        <f t="shared" si="5"/>
        <v>3919.993268169731</v>
      </c>
      <c r="J11" s="75">
        <f t="shared" si="6"/>
        <v>411957.77777777781</v>
      </c>
      <c r="K11" s="71"/>
      <c r="L11" s="75">
        <f t="shared" si="7"/>
        <v>5124.4825807958578</v>
      </c>
      <c r="M11" s="75">
        <f t="shared" si="8"/>
        <v>1205.1201866607325</v>
      </c>
      <c r="N11" s="75">
        <f t="shared" si="9"/>
        <v>3919.3623941351252</v>
      </c>
      <c r="O11" s="75">
        <f t="shared" si="10"/>
        <v>411846.6158092359</v>
      </c>
      <c r="T11" s="67"/>
    </row>
    <row r="12" spans="1:20" outlineLevel="1" x14ac:dyDescent="0.25">
      <c r="A12" s="71">
        <v>6</v>
      </c>
      <c r="B12" s="75">
        <f t="shared" si="11"/>
        <v>4100.918274350438</v>
      </c>
      <c r="C12" s="75">
        <f t="shared" si="0"/>
        <v>143.49869244881816</v>
      </c>
      <c r="D12" s="75">
        <f t="shared" si="1"/>
        <v>3957.4195819016195</v>
      </c>
      <c r="E12" s="75">
        <f t="shared" si="4"/>
        <v>416918.98851583753</v>
      </c>
      <c r="G12" s="75">
        <f t="shared" si="2"/>
        <v>5069.4264955687549</v>
      </c>
      <c r="H12" s="75">
        <f t="shared" si="3"/>
        <v>1160.4444444444443</v>
      </c>
      <c r="I12" s="75">
        <f t="shared" si="5"/>
        <v>3908.9820511243106</v>
      </c>
      <c r="J12" s="75">
        <f t="shared" si="6"/>
        <v>410797.33333333337</v>
      </c>
      <c r="K12" s="71"/>
      <c r="L12" s="75">
        <f t="shared" si="7"/>
        <v>5124.4825807958578</v>
      </c>
      <c r="M12" s="75">
        <f t="shared" si="8"/>
        <v>1216.5553225732419</v>
      </c>
      <c r="N12" s="75">
        <f t="shared" si="9"/>
        <v>3907.9272582226158</v>
      </c>
      <c r="O12" s="75">
        <f t="shared" si="10"/>
        <v>410630.06048666267</v>
      </c>
      <c r="T12" s="67"/>
    </row>
    <row r="13" spans="1:20" outlineLevel="1" x14ac:dyDescent="0.25">
      <c r="A13" s="71">
        <v>7</v>
      </c>
      <c r="B13" s="75">
        <f t="shared" si="11"/>
        <v>4100.9182743504371</v>
      </c>
      <c r="C13" s="75">
        <f t="shared" si="0"/>
        <v>144.86032182784842</v>
      </c>
      <c r="D13" s="75">
        <f t="shared" si="1"/>
        <v>3956.0579525225889</v>
      </c>
      <c r="E13" s="75">
        <f t="shared" si="4"/>
        <v>416774.12819400965</v>
      </c>
      <c r="G13" s="75">
        <f t="shared" si="2"/>
        <v>5058.4152785233346</v>
      </c>
      <c r="H13" s="75">
        <f t="shared" si="3"/>
        <v>1160.4444444444443</v>
      </c>
      <c r="I13" s="75">
        <f t="shared" si="5"/>
        <v>3897.9708340788902</v>
      </c>
      <c r="J13" s="75">
        <f t="shared" si="6"/>
        <v>409636.88888888893</v>
      </c>
      <c r="K13" s="71"/>
      <c r="L13" s="75">
        <f t="shared" si="7"/>
        <v>5124.4825807958578</v>
      </c>
      <c r="M13" s="75">
        <f t="shared" si="8"/>
        <v>1228.0989641226042</v>
      </c>
      <c r="N13" s="75">
        <f t="shared" si="9"/>
        <v>3896.3836166732535</v>
      </c>
      <c r="O13" s="75">
        <f t="shared" si="10"/>
        <v>409401.96152254008</v>
      </c>
      <c r="T13" s="67"/>
    </row>
    <row r="14" spans="1:20" outlineLevel="1" x14ac:dyDescent="0.25">
      <c r="A14" s="71">
        <v>8</v>
      </c>
      <c r="B14" s="75">
        <f t="shared" si="11"/>
        <v>4100.9182743504371</v>
      </c>
      <c r="C14" s="75">
        <f t="shared" si="0"/>
        <v>146.23487142610998</v>
      </c>
      <c r="D14" s="75">
        <f t="shared" si="1"/>
        <v>3954.6834029243273</v>
      </c>
      <c r="E14" s="75">
        <f t="shared" si="4"/>
        <v>416627.89332258352</v>
      </c>
      <c r="G14" s="75">
        <f t="shared" si="2"/>
        <v>5047.4040614779133</v>
      </c>
      <c r="H14" s="75">
        <f t="shared" si="3"/>
        <v>1160.4444444444443</v>
      </c>
      <c r="I14" s="75">
        <f t="shared" si="5"/>
        <v>3886.9596170334694</v>
      </c>
      <c r="J14" s="75">
        <f t="shared" si="6"/>
        <v>408476.4444444445</v>
      </c>
      <c r="K14" s="71"/>
      <c r="L14" s="75">
        <f t="shared" si="7"/>
        <v>5124.4825807958578</v>
      </c>
      <c r="M14" s="75">
        <f t="shared" si="8"/>
        <v>1239.7521408963394</v>
      </c>
      <c r="N14" s="75">
        <f t="shared" si="9"/>
        <v>3884.7304398995184</v>
      </c>
      <c r="O14" s="75">
        <f t="shared" si="10"/>
        <v>408162.20938164374</v>
      </c>
      <c r="T14" s="67"/>
    </row>
    <row r="15" spans="1:20" outlineLevel="1" x14ac:dyDescent="0.25">
      <c r="A15" s="71">
        <v>9</v>
      </c>
      <c r="B15" s="75">
        <f t="shared" si="11"/>
        <v>4100.9182743504371</v>
      </c>
      <c r="C15" s="75">
        <f t="shared" si="0"/>
        <v>147.62246384088769</v>
      </c>
      <c r="D15" s="75">
        <f t="shared" si="1"/>
        <v>3953.2958105095495</v>
      </c>
      <c r="E15" s="75">
        <f t="shared" si="4"/>
        <v>416480.27085874265</v>
      </c>
      <c r="G15" s="75">
        <f t="shared" si="2"/>
        <v>5036.3928444324938</v>
      </c>
      <c r="H15" s="75">
        <f t="shared" si="3"/>
        <v>1160.4444444444443</v>
      </c>
      <c r="I15" s="75">
        <f t="shared" si="5"/>
        <v>3875.948399988049</v>
      </c>
      <c r="J15" s="75">
        <f t="shared" si="6"/>
        <v>407316.00000000006</v>
      </c>
      <c r="K15" s="71"/>
      <c r="L15" s="75">
        <f t="shared" si="7"/>
        <v>5124.4825807958578</v>
      </c>
      <c r="M15" s="75">
        <f t="shared" si="8"/>
        <v>1251.5158922515111</v>
      </c>
      <c r="N15" s="75">
        <f t="shared" si="9"/>
        <v>3872.9666885443467</v>
      </c>
      <c r="O15" s="75">
        <f t="shared" si="10"/>
        <v>406910.69348939223</v>
      </c>
      <c r="T15" s="67"/>
    </row>
    <row r="16" spans="1:20" outlineLevel="1" x14ac:dyDescent="0.25">
      <c r="A16" s="71">
        <v>10</v>
      </c>
      <c r="B16" s="75">
        <f t="shared" si="11"/>
        <v>4100.9182743504371</v>
      </c>
      <c r="C16" s="75">
        <f t="shared" si="0"/>
        <v>149.02322283276686</v>
      </c>
      <c r="D16" s="75">
        <f t="shared" si="1"/>
        <v>3951.8950515176703</v>
      </c>
      <c r="E16" s="75">
        <f t="shared" si="4"/>
        <v>416331.24763590988</v>
      </c>
      <c r="G16" s="75">
        <f t="shared" si="2"/>
        <v>5025.3816273870725</v>
      </c>
      <c r="H16" s="75">
        <f t="shared" si="3"/>
        <v>1160.4444444444443</v>
      </c>
      <c r="I16" s="75">
        <f t="shared" si="5"/>
        <v>3864.9371829426286</v>
      </c>
      <c r="J16" s="75">
        <f t="shared" si="6"/>
        <v>406155.55555555562</v>
      </c>
      <c r="K16" s="71"/>
      <c r="L16" s="75">
        <f t="shared" si="7"/>
        <v>5124.4825807958578</v>
      </c>
      <c r="M16" s="75">
        <f t="shared" si="8"/>
        <v>1263.3912674074254</v>
      </c>
      <c r="N16" s="75">
        <f t="shared" si="9"/>
        <v>3861.0913133884324</v>
      </c>
      <c r="O16" s="75">
        <f t="shared" si="10"/>
        <v>405647.30222198478</v>
      </c>
      <c r="T16" s="67"/>
    </row>
    <row r="17" spans="1:20" outlineLevel="1" x14ac:dyDescent="0.25">
      <c r="A17" s="71">
        <v>11</v>
      </c>
      <c r="B17" s="75">
        <f t="shared" si="11"/>
        <v>4100.9182743504371</v>
      </c>
      <c r="C17" s="75">
        <f t="shared" si="0"/>
        <v>150.43727333667121</v>
      </c>
      <c r="D17" s="75">
        <f t="shared" si="1"/>
        <v>3950.4810010137662</v>
      </c>
      <c r="E17" s="75">
        <f t="shared" si="4"/>
        <v>416180.81036257319</v>
      </c>
      <c r="G17" s="75">
        <f t="shared" si="2"/>
        <v>5014.3704103416521</v>
      </c>
      <c r="H17" s="75">
        <f t="shared" si="3"/>
        <v>1160.4444444444443</v>
      </c>
      <c r="I17" s="75">
        <f t="shared" si="5"/>
        <v>3853.9259658972078</v>
      </c>
      <c r="J17" s="75">
        <f t="shared" si="6"/>
        <v>404995.11111111118</v>
      </c>
      <c r="K17" s="71"/>
      <c r="L17" s="75">
        <f t="shared" si="7"/>
        <v>5124.4825807958578</v>
      </c>
      <c r="M17" s="75">
        <f t="shared" si="8"/>
        <v>1275.3793255392152</v>
      </c>
      <c r="N17" s="75">
        <f t="shared" si="9"/>
        <v>3849.1032552566426</v>
      </c>
      <c r="O17" s="75">
        <f t="shared" si="10"/>
        <v>404371.92289644555</v>
      </c>
      <c r="T17" s="67"/>
    </row>
    <row r="18" spans="1:20" s="61" customFormat="1" x14ac:dyDescent="0.25">
      <c r="A18" s="69">
        <v>12</v>
      </c>
      <c r="B18" s="73">
        <f t="shared" si="11"/>
        <v>4100.9182743504371</v>
      </c>
      <c r="C18" s="73">
        <f t="shared" si="0"/>
        <v>151.86474147300615</v>
      </c>
      <c r="D18" s="73">
        <f t="shared" si="1"/>
        <v>3949.0535328774308</v>
      </c>
      <c r="E18" s="73">
        <f t="shared" si="4"/>
        <v>416028.9456211002</v>
      </c>
      <c r="F18" s="64"/>
      <c r="G18" s="73">
        <f t="shared" si="2"/>
        <v>5003.3591932962318</v>
      </c>
      <c r="H18" s="73">
        <f t="shared" si="3"/>
        <v>1160.4444444444443</v>
      </c>
      <c r="I18" s="73">
        <f t="shared" si="5"/>
        <v>3842.9147488517874</v>
      </c>
      <c r="J18" s="73">
        <f t="shared" si="6"/>
        <v>403834.66666666674</v>
      </c>
      <c r="K18" s="69"/>
      <c r="L18" s="73">
        <f t="shared" si="7"/>
        <v>5124.4825807958578</v>
      </c>
      <c r="M18" s="73">
        <f t="shared" si="8"/>
        <v>1287.481135872305</v>
      </c>
      <c r="N18" s="73">
        <f t="shared" si="9"/>
        <v>3837.0014449235528</v>
      </c>
      <c r="O18" s="73">
        <f t="shared" si="10"/>
        <v>403084.44176057325</v>
      </c>
      <c r="T18" s="74"/>
    </row>
    <row r="19" spans="1:20" outlineLevel="1" x14ac:dyDescent="0.25">
      <c r="A19" s="71">
        <v>13</v>
      </c>
      <c r="B19" s="75">
        <f t="shared" si="11"/>
        <v>4100.9182743504371</v>
      </c>
      <c r="C19" s="75">
        <f t="shared" si="0"/>
        <v>153.30575455890747</v>
      </c>
      <c r="D19" s="75">
        <f t="shared" si="1"/>
        <v>3947.6125197915298</v>
      </c>
      <c r="E19" s="75">
        <f t="shared" si="4"/>
        <v>415875.63986654131</v>
      </c>
      <c r="G19" s="75">
        <f t="shared" si="2"/>
        <v>4992.3479762508114</v>
      </c>
      <c r="H19" s="75">
        <f t="shared" si="3"/>
        <v>1160.4444444444443</v>
      </c>
      <c r="I19" s="75">
        <f t="shared" si="5"/>
        <v>3831.903531806367</v>
      </c>
      <c r="J19" s="75">
        <f t="shared" si="6"/>
        <v>402674.22222222231</v>
      </c>
      <c r="K19" s="71"/>
      <c r="L19" s="75">
        <f>+M19+N19</f>
        <v>4983.073428766852</v>
      </c>
      <c r="M19" s="75">
        <f>+O18/($C$3-A18)</f>
        <v>1158.2886257487737</v>
      </c>
      <c r="N19" s="75">
        <f t="shared" si="9"/>
        <v>3824.7848030180785</v>
      </c>
      <c r="O19" s="75">
        <f t="shared" si="10"/>
        <v>401926.15313482448</v>
      </c>
      <c r="T19" s="67"/>
    </row>
    <row r="20" spans="1:20" outlineLevel="1" x14ac:dyDescent="0.25">
      <c r="A20" s="71">
        <v>14</v>
      </c>
      <c r="B20" s="75">
        <f t="shared" si="11"/>
        <v>4100.9182743504371</v>
      </c>
      <c r="C20" s="75">
        <f t="shared" si="0"/>
        <v>154.76044111959695</v>
      </c>
      <c r="D20" s="75">
        <f t="shared" si="1"/>
        <v>3946.1578332308404</v>
      </c>
      <c r="E20" s="75">
        <f t="shared" si="4"/>
        <v>415720.87942542171</v>
      </c>
      <c r="G20" s="75">
        <f t="shared" si="2"/>
        <v>4981.336759205391</v>
      </c>
      <c r="H20" s="75">
        <f t="shared" si="3"/>
        <v>1160.4444444444443</v>
      </c>
      <c r="I20" s="75">
        <f t="shared" si="5"/>
        <v>3820.8923147609462</v>
      </c>
      <c r="J20" s="75">
        <f t="shared" si="6"/>
        <v>401513.77777777787</v>
      </c>
      <c r="K20" s="71"/>
      <c r="L20" s="75">
        <f t="shared" si="7"/>
        <v>4983.073428766852</v>
      </c>
      <c r="M20" s="75">
        <f t="shared" si="8"/>
        <v>1169.2793866769862</v>
      </c>
      <c r="N20" s="75">
        <f t="shared" si="9"/>
        <v>3813.7940420898658</v>
      </c>
      <c r="O20" s="75">
        <f t="shared" si="10"/>
        <v>400756.87374814751</v>
      </c>
      <c r="T20" s="67"/>
    </row>
    <row r="21" spans="1:20" outlineLevel="1" x14ac:dyDescent="0.25">
      <c r="A21" s="71">
        <v>15</v>
      </c>
      <c r="B21" s="75">
        <f t="shared" si="11"/>
        <v>4100.9182743504371</v>
      </c>
      <c r="C21" s="75">
        <f t="shared" si="0"/>
        <v>156.22893089984558</v>
      </c>
      <c r="D21" s="75">
        <f t="shared" si="1"/>
        <v>3944.6893434505919</v>
      </c>
      <c r="E21" s="75">
        <f t="shared" si="4"/>
        <v>415564.65049452183</v>
      </c>
      <c r="G21" s="75">
        <f t="shared" si="2"/>
        <v>4970.3255421599697</v>
      </c>
      <c r="H21" s="75">
        <f t="shared" si="3"/>
        <v>1160.4444444444443</v>
      </c>
      <c r="I21" s="75">
        <f t="shared" si="5"/>
        <v>3809.8810977155258</v>
      </c>
      <c r="J21" s="75">
        <f t="shared" si="6"/>
        <v>400353.33333333343</v>
      </c>
      <c r="K21" s="71"/>
      <c r="L21" s="75">
        <f t="shared" si="7"/>
        <v>4983.073428766852</v>
      </c>
      <c r="M21" s="75">
        <f t="shared" si="8"/>
        <v>1180.3744366598403</v>
      </c>
      <c r="N21" s="75">
        <f t="shared" si="9"/>
        <v>3802.6989921070117</v>
      </c>
      <c r="O21" s="75">
        <f t="shared" si="10"/>
        <v>399576.49931148766</v>
      </c>
      <c r="T21" s="67"/>
    </row>
    <row r="22" spans="1:20" outlineLevel="1" x14ac:dyDescent="0.25">
      <c r="A22" s="71">
        <v>16</v>
      </c>
      <c r="B22" s="75">
        <f t="shared" si="11"/>
        <v>4100.9182743504371</v>
      </c>
      <c r="C22" s="75">
        <f t="shared" si="0"/>
        <v>157.71135487554548</v>
      </c>
      <c r="D22" s="75">
        <f t="shared" si="1"/>
        <v>3943.2069194748915</v>
      </c>
      <c r="E22" s="75">
        <f t="shared" si="4"/>
        <v>415406.9391396463</v>
      </c>
      <c r="G22" s="75">
        <f t="shared" si="2"/>
        <v>4959.3143251145502</v>
      </c>
      <c r="H22" s="75">
        <f t="shared" si="3"/>
        <v>1160.4444444444443</v>
      </c>
      <c r="I22" s="75">
        <f t="shared" si="5"/>
        <v>3798.8698806701054</v>
      </c>
      <c r="J22" s="75">
        <f t="shared" si="6"/>
        <v>399192.88888888899</v>
      </c>
      <c r="K22" s="71"/>
      <c r="L22" s="75">
        <f t="shared" si="7"/>
        <v>4983.073428766852</v>
      </c>
      <c r="M22" s="75">
        <f t="shared" si="8"/>
        <v>1191.5747652745808</v>
      </c>
      <c r="N22" s="75">
        <f t="shared" si="9"/>
        <v>3791.4986634922711</v>
      </c>
      <c r="O22" s="75">
        <f t="shared" si="10"/>
        <v>398384.92454621306</v>
      </c>
      <c r="T22" s="67"/>
    </row>
    <row r="23" spans="1:20" outlineLevel="1" x14ac:dyDescent="0.25">
      <c r="A23" s="71">
        <v>17</v>
      </c>
      <c r="B23" s="75">
        <f t="shared" si="11"/>
        <v>4100.9182743504371</v>
      </c>
      <c r="C23" s="75">
        <f t="shared" si="0"/>
        <v>159.20784526539208</v>
      </c>
      <c r="D23" s="75">
        <f t="shared" si="1"/>
        <v>3941.7104290850452</v>
      </c>
      <c r="E23" s="75">
        <f t="shared" si="4"/>
        <v>415247.73129438091</v>
      </c>
      <c r="G23" s="75">
        <f t="shared" si="2"/>
        <v>4948.3031080691289</v>
      </c>
      <c r="H23" s="75">
        <f t="shared" si="3"/>
        <v>1160.4444444444443</v>
      </c>
      <c r="I23" s="75">
        <f t="shared" si="5"/>
        <v>3787.8586636246846</v>
      </c>
      <c r="J23" s="75">
        <f t="shared" si="6"/>
        <v>398032.44444444455</v>
      </c>
      <c r="K23" s="71"/>
      <c r="L23" s="75">
        <f t="shared" si="7"/>
        <v>4983.073428766852</v>
      </c>
      <c r="M23" s="75">
        <f t="shared" si="8"/>
        <v>1202.8813714883458</v>
      </c>
      <c r="N23" s="75">
        <f t="shared" si="9"/>
        <v>3780.1920572785061</v>
      </c>
      <c r="O23" s="75">
        <f t="shared" si="10"/>
        <v>397182.04317472473</v>
      </c>
      <c r="T23" s="67"/>
    </row>
    <row r="24" spans="1:20" outlineLevel="1" x14ac:dyDescent="0.25">
      <c r="A24" s="71">
        <v>18</v>
      </c>
      <c r="B24" s="75">
        <f t="shared" si="11"/>
        <v>4100.9182743504371</v>
      </c>
      <c r="C24" s="75">
        <f t="shared" si="0"/>
        <v>160.71853554267651</v>
      </c>
      <c r="D24" s="75">
        <f t="shared" si="1"/>
        <v>3940.1997388077607</v>
      </c>
      <c r="E24" s="75">
        <f t="shared" si="4"/>
        <v>415087.01275883825</v>
      </c>
      <c r="G24" s="75">
        <f t="shared" si="2"/>
        <v>4937.2918910237086</v>
      </c>
      <c r="H24" s="75">
        <f t="shared" si="3"/>
        <v>1160.4444444444443</v>
      </c>
      <c r="I24" s="75">
        <f t="shared" si="5"/>
        <v>3776.8474465792642</v>
      </c>
      <c r="J24" s="75">
        <f t="shared" si="6"/>
        <v>396872.00000000012</v>
      </c>
      <c r="K24" s="71"/>
      <c r="L24" s="75">
        <f t="shared" si="7"/>
        <v>4983.073428766852</v>
      </c>
      <c r="M24" s="75">
        <f t="shared" si="8"/>
        <v>1214.2952637472658</v>
      </c>
      <c r="N24" s="75">
        <f t="shared" si="9"/>
        <v>3768.7781650195861</v>
      </c>
      <c r="O24" s="75">
        <f t="shared" si="10"/>
        <v>395967.74791097746</v>
      </c>
      <c r="T24" s="67"/>
    </row>
    <row r="25" spans="1:20" outlineLevel="1" x14ac:dyDescent="0.25">
      <c r="A25" s="71">
        <v>19</v>
      </c>
      <c r="B25" s="75">
        <f t="shared" si="11"/>
        <v>4100.9182743504371</v>
      </c>
      <c r="C25" s="75">
        <f t="shared" si="0"/>
        <v>162.24356044719036</v>
      </c>
      <c r="D25" s="75">
        <f t="shared" si="1"/>
        <v>3938.6747139032468</v>
      </c>
      <c r="E25" s="75">
        <f t="shared" si="4"/>
        <v>414924.76919839106</v>
      </c>
      <c r="G25" s="75">
        <f t="shared" si="2"/>
        <v>4926.2806739782882</v>
      </c>
      <c r="H25" s="75">
        <f t="shared" si="3"/>
        <v>1160.4444444444443</v>
      </c>
      <c r="I25" s="75">
        <f t="shared" si="5"/>
        <v>3765.8362295338438</v>
      </c>
      <c r="J25" s="75">
        <f t="shared" si="6"/>
        <v>395711.55555555568</v>
      </c>
      <c r="K25" s="71"/>
      <c r="L25" s="75">
        <f t="shared" si="7"/>
        <v>4983.073428766852</v>
      </c>
      <c r="M25" s="75">
        <f t="shared" si="8"/>
        <v>1225.8174600664083</v>
      </c>
      <c r="N25" s="75">
        <f t="shared" si="9"/>
        <v>3757.2559687004436</v>
      </c>
      <c r="O25" s="75">
        <f t="shared" si="10"/>
        <v>394741.93045091105</v>
      </c>
      <c r="T25" s="67"/>
    </row>
    <row r="26" spans="1:20" outlineLevel="1" x14ac:dyDescent="0.25">
      <c r="A26" s="71">
        <v>20</v>
      </c>
      <c r="B26" s="75">
        <f t="shared" si="11"/>
        <v>4100.9182743504371</v>
      </c>
      <c r="C26" s="75">
        <f t="shared" si="0"/>
        <v>163.78305599724325</v>
      </c>
      <c r="D26" s="75">
        <f t="shared" si="1"/>
        <v>3937.135218353194</v>
      </c>
      <c r="E26" s="75">
        <f t="shared" si="4"/>
        <v>414760.98614239384</v>
      </c>
      <c r="G26" s="75">
        <f t="shared" si="2"/>
        <v>4915.2694569328669</v>
      </c>
      <c r="H26" s="75">
        <f t="shared" si="3"/>
        <v>1160.4444444444443</v>
      </c>
      <c r="I26" s="75">
        <f t="shared" si="5"/>
        <v>3754.825012488423</v>
      </c>
      <c r="J26" s="75">
        <f t="shared" si="6"/>
        <v>394551.11111111124</v>
      </c>
      <c r="K26" s="71"/>
      <c r="L26" s="75">
        <f t="shared" si="7"/>
        <v>4983.073428766852</v>
      </c>
      <c r="M26" s="75">
        <f t="shared" si="8"/>
        <v>1237.448988120575</v>
      </c>
      <c r="N26" s="75">
        <f t="shared" si="9"/>
        <v>3745.624440646277</v>
      </c>
      <c r="O26" s="75">
        <f t="shared" si="10"/>
        <v>393504.48146279046</v>
      </c>
      <c r="T26" s="67"/>
    </row>
    <row r="27" spans="1:20" outlineLevel="1" x14ac:dyDescent="0.25">
      <c r="A27" s="71">
        <v>21</v>
      </c>
      <c r="B27" s="75">
        <f t="shared" si="11"/>
        <v>4100.918274350438</v>
      </c>
      <c r="C27" s="75">
        <f t="shared" si="0"/>
        <v>165.33715950179439</v>
      </c>
      <c r="D27" s="75">
        <f t="shared" si="1"/>
        <v>3935.5811148486432</v>
      </c>
      <c r="E27" s="75">
        <f t="shared" si="4"/>
        <v>414595.64898289205</v>
      </c>
      <c r="G27" s="75">
        <f t="shared" si="2"/>
        <v>4904.2582398874474</v>
      </c>
      <c r="H27" s="75">
        <f t="shared" si="3"/>
        <v>1160.4444444444443</v>
      </c>
      <c r="I27" s="75">
        <f t="shared" si="5"/>
        <v>3743.8137954430026</v>
      </c>
      <c r="J27" s="75">
        <f t="shared" si="6"/>
        <v>393390.6666666668</v>
      </c>
      <c r="K27" s="71"/>
      <c r="L27" s="75">
        <f t="shared" si="7"/>
        <v>4983.073428766852</v>
      </c>
      <c r="M27" s="75">
        <f t="shared" si="8"/>
        <v>1249.190885335961</v>
      </c>
      <c r="N27" s="75">
        <f t="shared" si="9"/>
        <v>3733.882543430891</v>
      </c>
      <c r="O27" s="75">
        <f t="shared" si="10"/>
        <v>392255.29057745449</v>
      </c>
      <c r="T27" s="67"/>
    </row>
    <row r="28" spans="1:20" outlineLevel="1" x14ac:dyDescent="0.25">
      <c r="A28" s="71">
        <v>22</v>
      </c>
      <c r="B28" s="75">
        <f t="shared" si="11"/>
        <v>4100.9182743504371</v>
      </c>
      <c r="C28" s="75">
        <f t="shared" si="0"/>
        <v>166.90600957269902</v>
      </c>
      <c r="D28" s="75">
        <f t="shared" si="1"/>
        <v>3934.0122647777384</v>
      </c>
      <c r="E28" s="75">
        <f t="shared" si="4"/>
        <v>414428.74297331937</v>
      </c>
      <c r="G28" s="75">
        <f t="shared" si="2"/>
        <v>4893.2470228420261</v>
      </c>
      <c r="H28" s="75">
        <f t="shared" si="3"/>
        <v>1160.4444444444443</v>
      </c>
      <c r="I28" s="75">
        <f t="shared" si="5"/>
        <v>3732.8025783975822</v>
      </c>
      <c r="J28" s="75">
        <f t="shared" si="6"/>
        <v>392230.22222222236</v>
      </c>
      <c r="K28" s="71"/>
      <c r="L28" s="75">
        <f t="shared" si="7"/>
        <v>4983.073428766852</v>
      </c>
      <c r="M28" s="75">
        <f t="shared" si="8"/>
        <v>1261.0441989826822</v>
      </c>
      <c r="N28" s="75">
        <f t="shared" si="9"/>
        <v>3722.0292297841697</v>
      </c>
      <c r="O28" s="75">
        <f t="shared" si="10"/>
        <v>390994.24637847178</v>
      </c>
      <c r="T28" s="67"/>
    </row>
    <row r="29" spans="1:20" outlineLevel="1" x14ac:dyDescent="0.25">
      <c r="A29" s="71">
        <v>23</v>
      </c>
      <c r="B29" s="75">
        <f t="shared" si="11"/>
        <v>4100.918274350438</v>
      </c>
      <c r="C29" s="75">
        <f t="shared" si="0"/>
        <v>168.4897461370719</v>
      </c>
      <c r="D29" s="75">
        <f t="shared" si="1"/>
        <v>3932.428528213366</v>
      </c>
      <c r="E29" s="75">
        <f t="shared" si="4"/>
        <v>414260.25322718231</v>
      </c>
      <c r="G29" s="75">
        <f t="shared" si="2"/>
        <v>4882.2358057966057</v>
      </c>
      <c r="H29" s="75">
        <f t="shared" si="3"/>
        <v>1160.4444444444443</v>
      </c>
      <c r="I29" s="75">
        <f t="shared" si="5"/>
        <v>3721.7913613521614</v>
      </c>
      <c r="J29" s="75">
        <f t="shared" si="6"/>
        <v>391069.77777777793</v>
      </c>
      <c r="K29" s="71"/>
      <c r="L29" s="75">
        <f t="shared" si="7"/>
        <v>4983.073428766852</v>
      </c>
      <c r="M29" s="75">
        <f t="shared" si="8"/>
        <v>1273.0099862681864</v>
      </c>
      <c r="N29" s="75">
        <f t="shared" si="9"/>
        <v>3710.0634424986656</v>
      </c>
      <c r="O29" s="75">
        <f t="shared" si="10"/>
        <v>389721.2363922036</v>
      </c>
      <c r="T29" s="67"/>
    </row>
    <row r="30" spans="1:20" s="61" customFormat="1" x14ac:dyDescent="0.25">
      <c r="A30" s="69">
        <v>24</v>
      </c>
      <c r="B30" s="73">
        <f t="shared" si="11"/>
        <v>4100.918274350438</v>
      </c>
      <c r="C30" s="73">
        <f t="shared" si="0"/>
        <v>170.08851044976703</v>
      </c>
      <c r="D30" s="73">
        <f t="shared" si="1"/>
        <v>3930.829763900671</v>
      </c>
      <c r="E30" s="73">
        <f t="shared" si="4"/>
        <v>414090.16471673257</v>
      </c>
      <c r="F30" s="64"/>
      <c r="G30" s="73">
        <f t="shared" si="2"/>
        <v>4871.2245887511854</v>
      </c>
      <c r="H30" s="73">
        <f t="shared" si="3"/>
        <v>1160.4444444444443</v>
      </c>
      <c r="I30" s="73">
        <f t="shared" si="5"/>
        <v>3710.780144306741</v>
      </c>
      <c r="J30" s="73">
        <f t="shared" si="6"/>
        <v>389909.33333333349</v>
      </c>
      <c r="K30" s="69"/>
      <c r="L30" s="73">
        <f t="shared" si="7"/>
        <v>4983.073428766852</v>
      </c>
      <c r="M30" s="73">
        <f t="shared" si="8"/>
        <v>1285.0893144315414</v>
      </c>
      <c r="N30" s="73">
        <f t="shared" si="9"/>
        <v>3697.9841143353106</v>
      </c>
      <c r="O30" s="73">
        <f t="shared" si="10"/>
        <v>388436.14707777207</v>
      </c>
      <c r="T30" s="74"/>
    </row>
    <row r="31" spans="1:20" outlineLevel="1" x14ac:dyDescent="0.25">
      <c r="A31" s="71">
        <v>25</v>
      </c>
      <c r="B31" s="75">
        <f t="shared" si="11"/>
        <v>4100.918274350438</v>
      </c>
      <c r="C31" s="75">
        <f t="shared" si="0"/>
        <v>171.70244510597652</v>
      </c>
      <c r="D31" s="75">
        <f t="shared" si="1"/>
        <v>3929.2158292444615</v>
      </c>
      <c r="E31" s="75">
        <f t="shared" si="4"/>
        <v>413918.46227162657</v>
      </c>
      <c r="G31" s="75">
        <f t="shared" si="2"/>
        <v>4860.213371705765</v>
      </c>
      <c r="H31" s="75">
        <f t="shared" si="3"/>
        <v>1160.4444444444443</v>
      </c>
      <c r="I31" s="75">
        <f t="shared" si="5"/>
        <v>3699.7689272613206</v>
      </c>
      <c r="J31" s="75">
        <f t="shared" si="6"/>
        <v>388748.88888888905</v>
      </c>
      <c r="K31" s="71"/>
      <c r="L31" s="75">
        <f>+M31+N31</f>
        <v>4841.8501294692123</v>
      </c>
      <c r="M31" s="75">
        <f>+O30/($C$3-A30)</f>
        <v>1156.0599615409883</v>
      </c>
      <c r="N31" s="75">
        <f t="shared" si="9"/>
        <v>3685.7901679282245</v>
      </c>
      <c r="O31" s="75">
        <f t="shared" si="10"/>
        <v>387280.08711623109</v>
      </c>
      <c r="T31" s="67"/>
    </row>
    <row r="32" spans="1:20" outlineLevel="1" x14ac:dyDescent="0.25">
      <c r="A32" s="71">
        <v>26</v>
      </c>
      <c r="B32" s="75">
        <f t="shared" si="11"/>
        <v>4100.918274350438</v>
      </c>
      <c r="C32" s="75">
        <f t="shared" si="0"/>
        <v>173.33169405394875</v>
      </c>
      <c r="D32" s="75">
        <f t="shared" si="1"/>
        <v>3927.586580296489</v>
      </c>
      <c r="E32" s="75">
        <f t="shared" si="4"/>
        <v>413745.13057757262</v>
      </c>
      <c r="G32" s="75">
        <f t="shared" si="2"/>
        <v>4849.2021546603446</v>
      </c>
      <c r="H32" s="75">
        <f t="shared" si="3"/>
        <v>1160.4444444444443</v>
      </c>
      <c r="I32" s="75">
        <f t="shared" si="5"/>
        <v>3688.7577102158998</v>
      </c>
      <c r="J32" s="75">
        <f t="shared" si="6"/>
        <v>387588.44444444461</v>
      </c>
      <c r="K32" s="71"/>
      <c r="L32" s="75">
        <f t="shared" si="7"/>
        <v>4841.8501294692123</v>
      </c>
      <c r="M32" s="75">
        <f t="shared" si="8"/>
        <v>1167.0295751360122</v>
      </c>
      <c r="N32" s="75">
        <f t="shared" si="9"/>
        <v>3674.8205543332001</v>
      </c>
      <c r="O32" s="75">
        <f t="shared" si="10"/>
        <v>386113.05754109507</v>
      </c>
      <c r="T32" s="67"/>
    </row>
    <row r="33" spans="1:20" outlineLevel="1" x14ac:dyDescent="0.25">
      <c r="A33" s="71">
        <v>27</v>
      </c>
      <c r="B33" s="75">
        <f t="shared" si="11"/>
        <v>4100.918274350438</v>
      </c>
      <c r="C33" s="75">
        <f t="shared" si="0"/>
        <v>174.97640260782711</v>
      </c>
      <c r="D33" s="75">
        <f t="shared" si="1"/>
        <v>3925.9418717426106</v>
      </c>
      <c r="E33" s="75">
        <f t="shared" si="4"/>
        <v>413570.15417496482</v>
      </c>
      <c r="G33" s="75">
        <f t="shared" si="2"/>
        <v>4838.1909376149233</v>
      </c>
      <c r="H33" s="75">
        <f t="shared" si="3"/>
        <v>1160.4444444444443</v>
      </c>
      <c r="I33" s="75">
        <f t="shared" si="5"/>
        <v>3677.7464931704794</v>
      </c>
      <c r="J33" s="75">
        <f t="shared" si="6"/>
        <v>386428.00000000017</v>
      </c>
      <c r="K33" s="71"/>
      <c r="L33" s="75">
        <f t="shared" si="7"/>
        <v>4841.8501294692123</v>
      </c>
      <c r="M33" s="75">
        <f t="shared" si="8"/>
        <v>1178.1032771230125</v>
      </c>
      <c r="N33" s="75">
        <f t="shared" si="9"/>
        <v>3663.7468523461998</v>
      </c>
      <c r="O33" s="75">
        <f t="shared" si="10"/>
        <v>384934.95426397206</v>
      </c>
      <c r="T33" s="67"/>
    </row>
    <row r="34" spans="1:20" outlineLevel="1" x14ac:dyDescent="0.25">
      <c r="A34" s="71">
        <v>28</v>
      </c>
      <c r="B34" s="75">
        <f t="shared" si="11"/>
        <v>4100.918274350438</v>
      </c>
      <c r="C34" s="75">
        <f t="shared" si="0"/>
        <v>176.63671746061112</v>
      </c>
      <c r="D34" s="75">
        <f t="shared" si="1"/>
        <v>3924.2815568898272</v>
      </c>
      <c r="E34" s="75">
        <f t="shared" si="4"/>
        <v>413393.51745750423</v>
      </c>
      <c r="G34" s="75">
        <f t="shared" si="2"/>
        <v>4827.1797205695038</v>
      </c>
      <c r="H34" s="75">
        <f t="shared" si="3"/>
        <v>1160.4444444444443</v>
      </c>
      <c r="I34" s="75">
        <f t="shared" si="5"/>
        <v>3666.735276125059</v>
      </c>
      <c r="J34" s="75">
        <f t="shared" si="6"/>
        <v>385267.55555555574</v>
      </c>
      <c r="K34" s="71"/>
      <c r="L34" s="75">
        <f t="shared" si="7"/>
        <v>4841.8501294692123</v>
      </c>
      <c r="M34" s="75">
        <f t="shared" si="8"/>
        <v>1189.2820551751865</v>
      </c>
      <c r="N34" s="75">
        <f t="shared" si="9"/>
        <v>3652.5680742940258</v>
      </c>
      <c r="O34" s="75">
        <f t="shared" si="10"/>
        <v>383745.6722087969</v>
      </c>
      <c r="T34" s="67"/>
    </row>
    <row r="35" spans="1:20" outlineLevel="1" x14ac:dyDescent="0.25">
      <c r="A35" s="71">
        <v>29</v>
      </c>
      <c r="B35" s="75">
        <f t="shared" si="11"/>
        <v>4100.9182743504389</v>
      </c>
      <c r="C35" s="75">
        <f t="shared" si="0"/>
        <v>178.31278669723929</v>
      </c>
      <c r="D35" s="75">
        <f t="shared" si="1"/>
        <v>3922.6054876531994</v>
      </c>
      <c r="E35" s="75">
        <f t="shared" si="4"/>
        <v>413215.204670807</v>
      </c>
      <c r="G35" s="75">
        <f t="shared" si="2"/>
        <v>4816.1685035240826</v>
      </c>
      <c r="H35" s="75">
        <f t="shared" si="3"/>
        <v>1160.4444444444443</v>
      </c>
      <c r="I35" s="75">
        <f t="shared" si="5"/>
        <v>3655.7240590796382</v>
      </c>
      <c r="J35" s="75">
        <f t="shared" si="6"/>
        <v>384107.1111111113</v>
      </c>
      <c r="K35" s="71"/>
      <c r="L35" s="75">
        <f t="shared" si="7"/>
        <v>4841.8501294692123</v>
      </c>
      <c r="M35" s="75">
        <f t="shared" si="8"/>
        <v>1200.566906337559</v>
      </c>
      <c r="N35" s="75">
        <f t="shared" si="9"/>
        <v>3641.2832231316534</v>
      </c>
      <c r="O35" s="75">
        <f t="shared" si="10"/>
        <v>382545.10530245933</v>
      </c>
      <c r="T35" s="67"/>
    </row>
    <row r="36" spans="1:20" outlineLevel="1" x14ac:dyDescent="0.25">
      <c r="A36" s="71">
        <v>30</v>
      </c>
      <c r="B36" s="75">
        <f t="shared" si="11"/>
        <v>4100.9182743504389</v>
      </c>
      <c r="C36" s="75">
        <f t="shared" si="0"/>
        <v>180.00475980779788</v>
      </c>
      <c r="D36" s="75">
        <f t="shared" si="1"/>
        <v>3920.9135145426408</v>
      </c>
      <c r="E36" s="75">
        <f t="shared" si="4"/>
        <v>413035.19991099922</v>
      </c>
      <c r="G36" s="75">
        <f t="shared" si="2"/>
        <v>4805.1572864786622</v>
      </c>
      <c r="H36" s="75">
        <f t="shared" si="3"/>
        <v>1160.4444444444443</v>
      </c>
      <c r="I36" s="75">
        <f t="shared" si="5"/>
        <v>3644.7128420342178</v>
      </c>
      <c r="J36" s="75">
        <f t="shared" si="6"/>
        <v>382946.66666666686</v>
      </c>
      <c r="K36" s="71"/>
      <c r="L36" s="75">
        <f t="shared" si="7"/>
        <v>4841.8501294692123</v>
      </c>
      <c r="M36" s="75">
        <f t="shared" si="8"/>
        <v>1211.9588371159089</v>
      </c>
      <c r="N36" s="75">
        <f t="shared" si="9"/>
        <v>3629.8912923533035</v>
      </c>
      <c r="O36" s="75">
        <f t="shared" si="10"/>
        <v>381333.14646534342</v>
      </c>
      <c r="T36" s="67"/>
    </row>
    <row r="37" spans="1:20" outlineLevel="1" x14ac:dyDescent="0.25">
      <c r="A37" s="71">
        <v>31</v>
      </c>
      <c r="B37" s="75">
        <f t="shared" si="11"/>
        <v>4100.9182743504389</v>
      </c>
      <c r="C37" s="75">
        <f t="shared" si="0"/>
        <v>181.7127877008534</v>
      </c>
      <c r="D37" s="75">
        <f t="shared" si="1"/>
        <v>3919.2054866495851</v>
      </c>
      <c r="E37" s="75">
        <f t="shared" si="4"/>
        <v>412853.48712329834</v>
      </c>
      <c r="G37" s="75">
        <f t="shared" si="2"/>
        <v>4794.1460694332418</v>
      </c>
      <c r="H37" s="75">
        <f t="shared" si="3"/>
        <v>1160.4444444444443</v>
      </c>
      <c r="I37" s="75">
        <f t="shared" si="5"/>
        <v>3633.7016249887974</v>
      </c>
      <c r="J37" s="75">
        <f t="shared" si="6"/>
        <v>381786.22222222242</v>
      </c>
      <c r="K37" s="71"/>
      <c r="L37" s="75">
        <f t="shared" si="7"/>
        <v>4841.8501294692123</v>
      </c>
      <c r="M37" s="75">
        <f t="shared" si="8"/>
        <v>1223.45886356654</v>
      </c>
      <c r="N37" s="75">
        <f t="shared" si="9"/>
        <v>3618.3912659026723</v>
      </c>
      <c r="O37" s="75">
        <f t="shared" si="10"/>
        <v>380109.68760177691</v>
      </c>
      <c r="T37" s="67"/>
    </row>
    <row r="38" spans="1:20" outlineLevel="1" x14ac:dyDescent="0.25">
      <c r="A38" s="71">
        <v>32</v>
      </c>
      <c r="B38" s="75">
        <f t="shared" si="11"/>
        <v>4100.9182743504389</v>
      </c>
      <c r="C38" s="75">
        <f t="shared" si="0"/>
        <v>183.43702271691262</v>
      </c>
      <c r="D38" s="75">
        <f t="shared" si="1"/>
        <v>3917.481251633526</v>
      </c>
      <c r="E38" s="75">
        <f t="shared" si="4"/>
        <v>412670.05010058143</v>
      </c>
      <c r="G38" s="75">
        <f t="shared" si="2"/>
        <v>4783.1348523878205</v>
      </c>
      <c r="H38" s="75">
        <f t="shared" si="3"/>
        <v>1160.4444444444443</v>
      </c>
      <c r="I38" s="75">
        <f t="shared" si="5"/>
        <v>3622.6904079433766</v>
      </c>
      <c r="J38" s="75">
        <f t="shared" si="6"/>
        <v>380625.77777777798</v>
      </c>
      <c r="K38" s="71"/>
      <c r="L38" s="75">
        <f t="shared" si="7"/>
        <v>4841.8501294692123</v>
      </c>
      <c r="M38" s="75">
        <f t="shared" si="8"/>
        <v>1235.068011386903</v>
      </c>
      <c r="N38" s="75">
        <f t="shared" si="9"/>
        <v>3606.7821180823094</v>
      </c>
      <c r="O38" s="75">
        <f t="shared" si="10"/>
        <v>378874.61959039001</v>
      </c>
      <c r="T38" s="67"/>
    </row>
    <row r="39" spans="1:20" outlineLevel="1" x14ac:dyDescent="0.25">
      <c r="A39" s="71">
        <v>33</v>
      </c>
      <c r="B39" s="75">
        <f t="shared" si="11"/>
        <v>4100.9182743504389</v>
      </c>
      <c r="C39" s="75">
        <f t="shared" si="0"/>
        <v>185.1776186420098</v>
      </c>
      <c r="D39" s="75">
        <f t="shared" si="1"/>
        <v>3915.7406557084287</v>
      </c>
      <c r="E39" s="75">
        <f t="shared" si="4"/>
        <v>412484.87248193944</v>
      </c>
      <c r="G39" s="75">
        <f t="shared" si="2"/>
        <v>4772.123635342401</v>
      </c>
      <c r="H39" s="75">
        <f t="shared" si="3"/>
        <v>1160.4444444444443</v>
      </c>
      <c r="I39" s="75">
        <f t="shared" si="5"/>
        <v>3611.6791908979562</v>
      </c>
      <c r="J39" s="75">
        <f t="shared" si="6"/>
        <v>379465.33333333355</v>
      </c>
      <c r="K39" s="71"/>
      <c r="L39" s="75">
        <f t="shared" si="7"/>
        <v>4841.8501294692123</v>
      </c>
      <c r="M39" s="75">
        <f t="shared" si="8"/>
        <v>1246.7873160070803</v>
      </c>
      <c r="N39" s="75">
        <f t="shared" si="9"/>
        <v>3595.062813462132</v>
      </c>
      <c r="O39" s="75">
        <f t="shared" si="10"/>
        <v>377627.83227438293</v>
      </c>
      <c r="T39" s="67"/>
    </row>
    <row r="40" spans="1:20" outlineLevel="1" x14ac:dyDescent="0.25">
      <c r="A40" s="71">
        <v>34</v>
      </c>
      <c r="B40" s="75">
        <f t="shared" si="11"/>
        <v>4100.9182743504389</v>
      </c>
      <c r="C40" s="75">
        <f t="shared" si="0"/>
        <v>186.93473072142302</v>
      </c>
      <c r="D40" s="75">
        <f t="shared" si="1"/>
        <v>3913.9835436290155</v>
      </c>
      <c r="E40" s="75">
        <f t="shared" si="4"/>
        <v>412297.93775121804</v>
      </c>
      <c r="G40" s="75">
        <f t="shared" si="2"/>
        <v>4761.1124182969797</v>
      </c>
      <c r="H40" s="75">
        <f t="shared" si="3"/>
        <v>1160.4444444444443</v>
      </c>
      <c r="I40" s="75">
        <f t="shared" si="5"/>
        <v>3600.6679738525359</v>
      </c>
      <c r="J40" s="75">
        <f t="shared" si="6"/>
        <v>378304.88888888911</v>
      </c>
      <c r="K40" s="71"/>
      <c r="L40" s="75">
        <f t="shared" si="7"/>
        <v>4841.8501294692123</v>
      </c>
      <c r="M40" s="75">
        <f t="shared" si="8"/>
        <v>1258.6178226821362</v>
      </c>
      <c r="N40" s="75">
        <f t="shared" si="9"/>
        <v>3583.2323067870761</v>
      </c>
      <c r="O40" s="75">
        <f t="shared" si="10"/>
        <v>376369.2144517008</v>
      </c>
      <c r="T40" s="67"/>
    </row>
    <row r="41" spans="1:20" outlineLevel="1" x14ac:dyDescent="0.25">
      <c r="A41" s="71">
        <v>35</v>
      </c>
      <c r="B41" s="75">
        <f t="shared" si="11"/>
        <v>4100.9182743504389</v>
      </c>
      <c r="C41" s="75">
        <f t="shared" si="0"/>
        <v>188.70851567352071</v>
      </c>
      <c r="D41" s="75">
        <f t="shared" si="1"/>
        <v>3912.2097586769182</v>
      </c>
      <c r="E41" s="75">
        <f t="shared" si="4"/>
        <v>412109.22923554451</v>
      </c>
      <c r="G41" s="75">
        <f t="shared" si="2"/>
        <v>4750.1012012515594</v>
      </c>
      <c r="H41" s="75">
        <f t="shared" si="3"/>
        <v>1160.4444444444443</v>
      </c>
      <c r="I41" s="75">
        <f t="shared" si="5"/>
        <v>3589.656756807115</v>
      </c>
      <c r="J41" s="75">
        <f t="shared" si="6"/>
        <v>377144.44444444467</v>
      </c>
      <c r="K41" s="71"/>
      <c r="L41" s="75">
        <f t="shared" si="7"/>
        <v>4841.8501294692123</v>
      </c>
      <c r="M41" s="75">
        <f t="shared" si="8"/>
        <v>1270.5605865853427</v>
      </c>
      <c r="N41" s="75">
        <f t="shared" si="9"/>
        <v>3571.2895428838697</v>
      </c>
      <c r="O41" s="75">
        <f t="shared" si="10"/>
        <v>375098.65386511548</v>
      </c>
      <c r="T41" s="67"/>
    </row>
    <row r="42" spans="1:20" s="61" customFormat="1" x14ac:dyDescent="0.25">
      <c r="A42" s="69">
        <v>36</v>
      </c>
      <c r="B42" s="73">
        <f t="shared" si="11"/>
        <v>4100.9182743504389</v>
      </c>
      <c r="C42" s="73">
        <f t="shared" si="0"/>
        <v>190.49913170373927</v>
      </c>
      <c r="D42" s="73">
        <f t="shared" si="1"/>
        <v>3910.4191426466996</v>
      </c>
      <c r="E42" s="73">
        <f t="shared" si="4"/>
        <v>411918.73010384076</v>
      </c>
      <c r="F42" s="64"/>
      <c r="G42" s="73">
        <f t="shared" si="2"/>
        <v>4739.089984206139</v>
      </c>
      <c r="H42" s="73">
        <f t="shared" si="3"/>
        <v>1160.4444444444443</v>
      </c>
      <c r="I42" s="73">
        <f t="shared" si="5"/>
        <v>3578.6455397616946</v>
      </c>
      <c r="J42" s="73">
        <f t="shared" si="6"/>
        <v>375984.00000000023</v>
      </c>
      <c r="K42" s="69"/>
      <c r="L42" s="73">
        <f t="shared" si="7"/>
        <v>4841.8501294692123</v>
      </c>
      <c r="M42" s="73">
        <f t="shared" si="8"/>
        <v>1282.616672902293</v>
      </c>
      <c r="N42" s="73">
        <f t="shared" si="9"/>
        <v>3559.2334565669194</v>
      </c>
      <c r="O42" s="73">
        <f t="shared" si="10"/>
        <v>373816.03719221317</v>
      </c>
      <c r="T42" s="74"/>
    </row>
    <row r="43" spans="1:20" outlineLevel="1" x14ac:dyDescent="0.25">
      <c r="A43" s="71">
        <v>37</v>
      </c>
      <c r="B43" s="75">
        <f t="shared" si="11"/>
        <v>4100.9182743504389</v>
      </c>
      <c r="C43" s="75">
        <f t="shared" si="0"/>
        <v>192.30673851869386</v>
      </c>
      <c r="D43" s="75">
        <f t="shared" si="1"/>
        <v>3908.6115358317447</v>
      </c>
      <c r="E43" s="75">
        <f t="shared" si="4"/>
        <v>411726.42336532206</v>
      </c>
      <c r="G43" s="75">
        <f t="shared" si="2"/>
        <v>4728.0787671607186</v>
      </c>
      <c r="H43" s="75">
        <f t="shared" si="3"/>
        <v>1160.4444444444443</v>
      </c>
      <c r="I43" s="75">
        <f t="shared" si="5"/>
        <v>3567.6343227162743</v>
      </c>
      <c r="J43" s="75">
        <f t="shared" si="6"/>
        <v>374823.55555555579</v>
      </c>
      <c r="K43" s="71"/>
      <c r="L43" s="75">
        <f>+M43+N43</f>
        <v>4700.8161737538403</v>
      </c>
      <c r="M43" s="75">
        <f>+O42/($C$3-A42)</f>
        <v>1153.7532012105346</v>
      </c>
      <c r="N43" s="75">
        <f t="shared" si="9"/>
        <v>3547.0629725433055</v>
      </c>
      <c r="O43" s="75">
        <f t="shared" si="10"/>
        <v>372662.28399100265</v>
      </c>
      <c r="T43" s="67"/>
    </row>
    <row r="44" spans="1:20" outlineLevel="1" x14ac:dyDescent="0.25">
      <c r="A44" s="71">
        <v>38</v>
      </c>
      <c r="B44" s="75">
        <f t="shared" si="11"/>
        <v>4100.918274350438</v>
      </c>
      <c r="C44" s="75">
        <f t="shared" si="0"/>
        <v>194.13149734042275</v>
      </c>
      <c r="D44" s="75">
        <f t="shared" si="1"/>
        <v>3906.7867770100156</v>
      </c>
      <c r="E44" s="75">
        <f t="shared" si="4"/>
        <v>411532.29186798161</v>
      </c>
      <c r="G44" s="75">
        <f t="shared" si="2"/>
        <v>4717.0675501152982</v>
      </c>
      <c r="H44" s="75">
        <f t="shared" si="3"/>
        <v>1160.4444444444443</v>
      </c>
      <c r="I44" s="75">
        <f t="shared" si="5"/>
        <v>3556.6231056708534</v>
      </c>
      <c r="J44" s="75">
        <f t="shared" si="6"/>
        <v>373663.11111111136</v>
      </c>
      <c r="K44" s="71"/>
      <c r="L44" s="75">
        <f t="shared" si="7"/>
        <v>4700.8161737538403</v>
      </c>
      <c r="M44" s="75">
        <f t="shared" si="8"/>
        <v>1164.7009264344338</v>
      </c>
      <c r="N44" s="75">
        <f t="shared" si="9"/>
        <v>3536.1152473194065</v>
      </c>
      <c r="O44" s="75">
        <f t="shared" si="10"/>
        <v>371497.58306456823</v>
      </c>
      <c r="T44" s="67"/>
    </row>
    <row r="45" spans="1:20" outlineLevel="1" x14ac:dyDescent="0.25">
      <c r="A45" s="71">
        <v>39</v>
      </c>
      <c r="B45" s="75">
        <f t="shared" si="11"/>
        <v>4100.918274350438</v>
      </c>
      <c r="C45" s="75">
        <f t="shared" si="0"/>
        <v>195.97357092076655</v>
      </c>
      <c r="D45" s="75">
        <f t="shared" si="1"/>
        <v>3904.9447034296718</v>
      </c>
      <c r="E45" s="75">
        <f t="shared" si="4"/>
        <v>411336.31829706085</v>
      </c>
      <c r="G45" s="75">
        <f t="shared" si="2"/>
        <v>4706.0563330698769</v>
      </c>
      <c r="H45" s="75">
        <f t="shared" si="3"/>
        <v>1160.4444444444443</v>
      </c>
      <c r="I45" s="75">
        <f t="shared" si="5"/>
        <v>3545.611888625433</v>
      </c>
      <c r="J45" s="75">
        <f t="shared" si="6"/>
        <v>372502.66666666692</v>
      </c>
      <c r="K45" s="71"/>
      <c r="L45" s="75">
        <f t="shared" si="7"/>
        <v>4700.8161737538403</v>
      </c>
      <c r="M45" s="75">
        <f t="shared" si="8"/>
        <v>1175.7525323560872</v>
      </c>
      <c r="N45" s="75">
        <f t="shared" si="9"/>
        <v>3525.0636413977531</v>
      </c>
      <c r="O45" s="75">
        <f t="shared" si="10"/>
        <v>370321.83053221216</v>
      </c>
      <c r="T45" s="67"/>
    </row>
    <row r="46" spans="1:20" outlineLevel="1" x14ac:dyDescent="0.25">
      <c r="A46" s="71">
        <v>40</v>
      </c>
      <c r="B46" s="75">
        <f t="shared" si="11"/>
        <v>4100.918274350438</v>
      </c>
      <c r="C46" s="75">
        <f t="shared" si="0"/>
        <v>197.83312355588453</v>
      </c>
      <c r="D46" s="75">
        <f t="shared" si="1"/>
        <v>3903.0851507945536</v>
      </c>
      <c r="E46" s="75">
        <f t="shared" si="4"/>
        <v>411138.48517350497</v>
      </c>
      <c r="G46" s="75">
        <f t="shared" si="2"/>
        <v>4695.0451160244575</v>
      </c>
      <c r="H46" s="75">
        <f t="shared" si="3"/>
        <v>1160.4444444444443</v>
      </c>
      <c r="I46" s="75">
        <f t="shared" si="5"/>
        <v>3534.6006715800127</v>
      </c>
      <c r="J46" s="75">
        <f t="shared" si="6"/>
        <v>371342.22222222248</v>
      </c>
      <c r="K46" s="71"/>
      <c r="L46" s="75">
        <f t="shared" si="7"/>
        <v>4700.8161737538403</v>
      </c>
      <c r="M46" s="75">
        <f t="shared" si="8"/>
        <v>1186.9090046779256</v>
      </c>
      <c r="N46" s="75">
        <f t="shared" si="9"/>
        <v>3513.9071690759147</v>
      </c>
      <c r="O46" s="75">
        <f t="shared" si="10"/>
        <v>369134.92152753426</v>
      </c>
      <c r="T46" s="67"/>
    </row>
    <row r="47" spans="1:20" outlineLevel="1" x14ac:dyDescent="0.25">
      <c r="A47" s="71">
        <v>41</v>
      </c>
      <c r="B47" s="75">
        <f t="shared" si="11"/>
        <v>4100.9182743504389</v>
      </c>
      <c r="C47" s="75">
        <f t="shared" si="0"/>
        <v>199.71032110090809</v>
      </c>
      <c r="D47" s="75">
        <f t="shared" si="1"/>
        <v>3901.2079532495304</v>
      </c>
      <c r="E47" s="75">
        <f t="shared" si="4"/>
        <v>410938.77485240408</v>
      </c>
      <c r="G47" s="75">
        <f t="shared" si="2"/>
        <v>4684.0338989790362</v>
      </c>
      <c r="H47" s="75">
        <f t="shared" si="3"/>
        <v>1160.4444444444443</v>
      </c>
      <c r="I47" s="75">
        <f t="shared" si="5"/>
        <v>3523.5894545345918</v>
      </c>
      <c r="J47" s="75">
        <f t="shared" si="6"/>
        <v>370181.77777777804</v>
      </c>
      <c r="K47" s="71"/>
      <c r="L47" s="75">
        <f t="shared" si="7"/>
        <v>4700.8161737538403</v>
      </c>
      <c r="M47" s="75">
        <f t="shared" si="8"/>
        <v>1198.1713384555064</v>
      </c>
      <c r="N47" s="75">
        <f t="shared" si="9"/>
        <v>3502.6448352983339</v>
      </c>
      <c r="O47" s="75">
        <f t="shared" si="10"/>
        <v>367936.75018907874</v>
      </c>
      <c r="T47" s="67"/>
    </row>
    <row r="48" spans="1:20" outlineLevel="1" x14ac:dyDescent="0.25">
      <c r="A48" s="71">
        <v>42</v>
      </c>
      <c r="B48" s="75">
        <f t="shared" si="11"/>
        <v>4100.9182743504389</v>
      </c>
      <c r="C48" s="75">
        <f t="shared" si="0"/>
        <v>201.6053309847338</v>
      </c>
      <c r="D48" s="75">
        <f t="shared" si="1"/>
        <v>3899.312943365705</v>
      </c>
      <c r="E48" s="75">
        <f t="shared" si="4"/>
        <v>410737.16952141933</v>
      </c>
      <c r="G48" s="75">
        <f t="shared" si="2"/>
        <v>4673.0226819336158</v>
      </c>
      <c r="H48" s="75">
        <f t="shared" si="3"/>
        <v>1160.4444444444443</v>
      </c>
      <c r="I48" s="75">
        <f t="shared" si="5"/>
        <v>3512.5782374891714</v>
      </c>
      <c r="J48" s="75">
        <f t="shared" si="6"/>
        <v>369021.3333333336</v>
      </c>
      <c r="K48" s="71"/>
      <c r="L48" s="75">
        <f t="shared" si="7"/>
        <v>4700.8161737538403</v>
      </c>
      <c r="M48" s="75">
        <f t="shared" si="8"/>
        <v>1209.5405381862629</v>
      </c>
      <c r="N48" s="75">
        <f t="shared" si="9"/>
        <v>3491.2756355675774</v>
      </c>
      <c r="O48" s="75">
        <f t="shared" si="10"/>
        <v>366727.20965089247</v>
      </c>
      <c r="T48" s="67"/>
    </row>
    <row r="49" spans="1:20" outlineLevel="1" x14ac:dyDescent="0.25">
      <c r="A49" s="71">
        <v>43</v>
      </c>
      <c r="B49" s="75">
        <f t="shared" si="11"/>
        <v>4100.918274350438</v>
      </c>
      <c r="C49" s="75">
        <f t="shared" si="0"/>
        <v>203.51832222495599</v>
      </c>
      <c r="D49" s="75">
        <f t="shared" si="1"/>
        <v>3897.3999521254823</v>
      </c>
      <c r="E49" s="75">
        <f t="shared" si="4"/>
        <v>410533.65119919437</v>
      </c>
      <c r="G49" s="75">
        <f t="shared" si="2"/>
        <v>4662.0114648881954</v>
      </c>
      <c r="H49" s="75">
        <f t="shared" si="3"/>
        <v>1160.4444444444443</v>
      </c>
      <c r="I49" s="75">
        <f t="shared" si="5"/>
        <v>3501.5670204437511</v>
      </c>
      <c r="J49" s="75">
        <f t="shared" si="6"/>
        <v>367860.88888888917</v>
      </c>
      <c r="K49" s="71"/>
      <c r="L49" s="75">
        <f t="shared" si="7"/>
        <v>4700.8161737538403</v>
      </c>
      <c r="M49" s="75">
        <f t="shared" si="8"/>
        <v>1221.0176178990964</v>
      </c>
      <c r="N49" s="75">
        <f t="shared" si="9"/>
        <v>3479.7985558547439</v>
      </c>
      <c r="O49" s="75">
        <f t="shared" si="10"/>
        <v>365506.19203299336</v>
      </c>
      <c r="T49" s="67"/>
    </row>
    <row r="50" spans="1:20" outlineLevel="1" x14ac:dyDescent="0.25">
      <c r="A50" s="71">
        <v>44</v>
      </c>
      <c r="B50" s="75">
        <f t="shared" si="11"/>
        <v>4100.9182743504389</v>
      </c>
      <c r="C50" s="75">
        <f t="shared" si="0"/>
        <v>205.44946544294231</v>
      </c>
      <c r="D50" s="75">
        <f t="shared" si="1"/>
        <v>3895.4688089074962</v>
      </c>
      <c r="E50" s="75">
        <f t="shared" si="4"/>
        <v>410328.20173375146</v>
      </c>
      <c r="G50" s="75">
        <f t="shared" si="2"/>
        <v>4651.0002478427741</v>
      </c>
      <c r="H50" s="75">
        <f t="shared" si="3"/>
        <v>1160.4444444444443</v>
      </c>
      <c r="I50" s="75">
        <f t="shared" si="5"/>
        <v>3490.5558033983302</v>
      </c>
      <c r="J50" s="75">
        <f t="shared" si="6"/>
        <v>366700.44444444473</v>
      </c>
      <c r="K50" s="71"/>
      <c r="L50" s="75">
        <f t="shared" si="7"/>
        <v>4700.8161737538403</v>
      </c>
      <c r="M50" s="75">
        <f t="shared" si="8"/>
        <v>1232.6036012448189</v>
      </c>
      <c r="N50" s="75">
        <f t="shared" si="9"/>
        <v>3468.2125725090214</v>
      </c>
      <c r="O50" s="75">
        <f t="shared" si="10"/>
        <v>364273.58843174856</v>
      </c>
      <c r="T50" s="67"/>
    </row>
    <row r="51" spans="1:20" outlineLevel="1" x14ac:dyDescent="0.25">
      <c r="A51" s="71">
        <v>45</v>
      </c>
      <c r="B51" s="75">
        <f t="shared" si="11"/>
        <v>4100.9182743504389</v>
      </c>
      <c r="C51" s="75">
        <f t="shared" si="0"/>
        <v>207.39893287905119</v>
      </c>
      <c r="D51" s="75">
        <f t="shared" si="1"/>
        <v>3893.5193414713876</v>
      </c>
      <c r="E51" s="75">
        <f t="shared" si="4"/>
        <v>410120.80280087242</v>
      </c>
      <c r="G51" s="75">
        <f t="shared" si="2"/>
        <v>4639.9890307973546</v>
      </c>
      <c r="H51" s="75">
        <f t="shared" si="3"/>
        <v>1160.4444444444443</v>
      </c>
      <c r="I51" s="75">
        <f t="shared" si="5"/>
        <v>3479.5445863529098</v>
      </c>
      <c r="J51" s="75">
        <f t="shared" si="6"/>
        <v>365540.00000000029</v>
      </c>
      <c r="K51" s="71"/>
      <c r="L51" s="75">
        <f t="shared" si="7"/>
        <v>4700.8161737538403</v>
      </c>
      <c r="M51" s="75">
        <f t="shared" si="8"/>
        <v>1244.2995215874521</v>
      </c>
      <c r="N51" s="75">
        <f t="shared" si="9"/>
        <v>3456.5166521663882</v>
      </c>
      <c r="O51" s="75">
        <f t="shared" si="10"/>
        <v>363029.28891016112</v>
      </c>
      <c r="T51" s="67"/>
    </row>
    <row r="52" spans="1:20" outlineLevel="1" x14ac:dyDescent="0.25">
      <c r="A52" s="71">
        <v>46</v>
      </c>
      <c r="B52" s="75">
        <f t="shared" si="11"/>
        <v>4100.9182743504389</v>
      </c>
      <c r="C52" s="75">
        <f t="shared" si="0"/>
        <v>209.36689840799397</v>
      </c>
      <c r="D52" s="75">
        <f t="shared" si="1"/>
        <v>3891.5513759424448</v>
      </c>
      <c r="E52" s="75">
        <f t="shared" si="4"/>
        <v>409911.43590246444</v>
      </c>
      <c r="G52" s="75">
        <f t="shared" si="2"/>
        <v>4628.9778137519334</v>
      </c>
      <c r="H52" s="75">
        <f t="shared" si="3"/>
        <v>1160.4444444444443</v>
      </c>
      <c r="I52" s="75">
        <f t="shared" si="5"/>
        <v>3468.5333693074895</v>
      </c>
      <c r="J52" s="75">
        <f t="shared" si="6"/>
        <v>364379.55555555585</v>
      </c>
      <c r="K52" s="71"/>
      <c r="L52" s="75">
        <f t="shared" si="7"/>
        <v>4700.8161737538403</v>
      </c>
      <c r="M52" s="75">
        <f t="shared" si="8"/>
        <v>1256.1064220963963</v>
      </c>
      <c r="N52" s="75">
        <f t="shared" si="9"/>
        <v>3444.709751657444</v>
      </c>
      <c r="O52" s="75">
        <f t="shared" si="10"/>
        <v>361773.18248806475</v>
      </c>
      <c r="T52" s="67"/>
    </row>
    <row r="53" spans="1:20" outlineLevel="1" x14ac:dyDescent="0.25">
      <c r="A53" s="71">
        <v>47</v>
      </c>
      <c r="B53" s="75">
        <f t="shared" si="11"/>
        <v>4100.9182743504389</v>
      </c>
      <c r="C53" s="75">
        <f t="shared" si="0"/>
        <v>211.35353755434329</v>
      </c>
      <c r="D53" s="75">
        <f t="shared" si="1"/>
        <v>3889.5647367960955</v>
      </c>
      <c r="E53" s="75">
        <f t="shared" si="4"/>
        <v>409700.08236491011</v>
      </c>
      <c r="G53" s="75">
        <f t="shared" si="2"/>
        <v>4617.966596706513</v>
      </c>
      <c r="H53" s="75">
        <f t="shared" si="3"/>
        <v>1160.4444444444443</v>
      </c>
      <c r="I53" s="75">
        <f t="shared" si="5"/>
        <v>3457.5221522620686</v>
      </c>
      <c r="J53" s="75">
        <f t="shared" si="6"/>
        <v>363219.11111111142</v>
      </c>
      <c r="K53" s="71"/>
      <c r="L53" s="75">
        <f t="shared" si="7"/>
        <v>4700.8161737538403</v>
      </c>
      <c r="M53" s="75">
        <f t="shared" si="8"/>
        <v>1268.0253558394688</v>
      </c>
      <c r="N53" s="75">
        <f t="shared" si="9"/>
        <v>3432.7908179143715</v>
      </c>
      <c r="O53" s="75">
        <f t="shared" si="10"/>
        <v>360505.15713222529</v>
      </c>
      <c r="T53" s="67"/>
    </row>
    <row r="54" spans="1:20" s="61" customFormat="1" x14ac:dyDescent="0.25">
      <c r="A54" s="69">
        <v>48</v>
      </c>
      <c r="B54" s="73">
        <f t="shared" si="11"/>
        <v>4100.9182743504389</v>
      </c>
      <c r="C54" s="73">
        <f t="shared" si="0"/>
        <v>213.35902750818818</v>
      </c>
      <c r="D54" s="73">
        <f t="shared" si="1"/>
        <v>3887.559246842251</v>
      </c>
      <c r="E54" s="73">
        <f t="shared" si="4"/>
        <v>409486.72333740193</v>
      </c>
      <c r="F54" s="64"/>
      <c r="G54" s="73">
        <f t="shared" si="2"/>
        <v>4606.9553796610926</v>
      </c>
      <c r="H54" s="73">
        <f t="shared" si="3"/>
        <v>1160.4444444444443</v>
      </c>
      <c r="I54" s="73">
        <f t="shared" si="5"/>
        <v>3446.5109352166482</v>
      </c>
      <c r="J54" s="73">
        <f t="shared" si="6"/>
        <v>362058.66666666698</v>
      </c>
      <c r="K54" s="69"/>
      <c r="L54" s="73">
        <f t="shared" si="7"/>
        <v>4700.8161737538403</v>
      </c>
      <c r="M54" s="73">
        <f t="shared" si="8"/>
        <v>1280.0573858768303</v>
      </c>
      <c r="N54" s="73">
        <f t="shared" si="9"/>
        <v>3420.75878787701</v>
      </c>
      <c r="O54" s="73">
        <f t="shared" si="10"/>
        <v>359225.09974634845</v>
      </c>
      <c r="T54" s="74"/>
    </row>
    <row r="55" spans="1:20" outlineLevel="1" x14ac:dyDescent="0.25">
      <c r="A55" s="71">
        <v>49</v>
      </c>
      <c r="B55" s="75">
        <f t="shared" si="11"/>
        <v>4100.9182743504389</v>
      </c>
      <c r="C55" s="75">
        <f t="shared" si="0"/>
        <v>215.38354714093734</v>
      </c>
      <c r="D55" s="75">
        <f t="shared" si="1"/>
        <v>3885.5347272095019</v>
      </c>
      <c r="E55" s="75">
        <f t="shared" si="4"/>
        <v>409271.339790261</v>
      </c>
      <c r="G55" s="75">
        <f t="shared" si="2"/>
        <v>4595.9441626156722</v>
      </c>
      <c r="H55" s="75">
        <f t="shared" si="3"/>
        <v>1160.4444444444443</v>
      </c>
      <c r="I55" s="75">
        <f t="shared" si="5"/>
        <v>3435.4997181712279</v>
      </c>
      <c r="J55" s="75">
        <f t="shared" si="6"/>
        <v>360898.22222222254</v>
      </c>
      <c r="K55" s="71"/>
      <c r="L55" s="75">
        <f>+M55+N55</f>
        <v>4559.975087585055</v>
      </c>
      <c r="M55" s="75">
        <f>+O54/($C$3-A54)</f>
        <v>1151.3624991870142</v>
      </c>
      <c r="N55" s="75">
        <f t="shared" si="9"/>
        <v>3408.6125883980412</v>
      </c>
      <c r="O55" s="75">
        <f t="shared" si="10"/>
        <v>358073.73724716145</v>
      </c>
      <c r="T55" s="67"/>
    </row>
    <row r="56" spans="1:20" outlineLevel="1" x14ac:dyDescent="0.25">
      <c r="A56" s="71">
        <v>50</v>
      </c>
      <c r="B56" s="75">
        <f t="shared" si="11"/>
        <v>4100.9182743504389</v>
      </c>
      <c r="C56" s="75">
        <f t="shared" si="0"/>
        <v>217.42727702127368</v>
      </c>
      <c r="D56" s="75">
        <f t="shared" si="1"/>
        <v>3883.4909973291656</v>
      </c>
      <c r="E56" s="75">
        <f t="shared" si="4"/>
        <v>409053.91251323972</v>
      </c>
      <c r="G56" s="75">
        <f t="shared" si="2"/>
        <v>4584.9329455702518</v>
      </c>
      <c r="H56" s="75">
        <f t="shared" si="3"/>
        <v>1160.4444444444443</v>
      </c>
      <c r="I56" s="75">
        <f t="shared" si="5"/>
        <v>3424.488501125807</v>
      </c>
      <c r="J56" s="75">
        <f t="shared" si="6"/>
        <v>359737.7777777781</v>
      </c>
      <c r="K56" s="71"/>
      <c r="L56" s="75">
        <f t="shared" si="7"/>
        <v>4559.975087585055</v>
      </c>
      <c r="M56" s="75">
        <f t="shared" si="8"/>
        <v>1162.2875395344436</v>
      </c>
      <c r="N56" s="75">
        <f t="shared" si="9"/>
        <v>3397.6875480506114</v>
      </c>
      <c r="O56" s="75">
        <f t="shared" si="10"/>
        <v>356911.44970762701</v>
      </c>
      <c r="T56" s="67"/>
    </row>
    <row r="57" spans="1:20" outlineLevel="1" x14ac:dyDescent="0.25">
      <c r="A57" s="71">
        <v>51</v>
      </c>
      <c r="B57" s="75">
        <f t="shared" si="11"/>
        <v>4100.9182743504389</v>
      </c>
      <c r="C57" s="75">
        <f t="shared" si="0"/>
        <v>219.49039943125879</v>
      </c>
      <c r="D57" s="75">
        <f t="shared" si="1"/>
        <v>3881.4278749191803</v>
      </c>
      <c r="E57" s="75">
        <f t="shared" si="4"/>
        <v>408834.42211380845</v>
      </c>
      <c r="G57" s="75">
        <f t="shared" si="2"/>
        <v>4573.9217285248305</v>
      </c>
      <c r="H57" s="75">
        <f t="shared" si="3"/>
        <v>1160.4444444444443</v>
      </c>
      <c r="I57" s="75">
        <f t="shared" si="5"/>
        <v>3413.4772840803867</v>
      </c>
      <c r="J57" s="75">
        <f t="shared" si="6"/>
        <v>358577.33333333366</v>
      </c>
      <c r="K57" s="71"/>
      <c r="L57" s="75">
        <f t="shared" si="7"/>
        <v>4559.975087585055</v>
      </c>
      <c r="M57" s="75">
        <f t="shared" si="8"/>
        <v>1173.3162453275318</v>
      </c>
      <c r="N57" s="75">
        <f t="shared" si="9"/>
        <v>3386.6588422575232</v>
      </c>
      <c r="O57" s="75">
        <f t="shared" si="10"/>
        <v>355738.13346229948</v>
      </c>
      <c r="T57" s="67"/>
    </row>
    <row r="58" spans="1:20" outlineLevel="1" x14ac:dyDescent="0.25">
      <c r="A58" s="71">
        <v>52</v>
      </c>
      <c r="B58" s="75">
        <f t="shared" si="11"/>
        <v>4100.9182743504389</v>
      </c>
      <c r="C58" s="75">
        <f t="shared" si="0"/>
        <v>221.5730983825909</v>
      </c>
      <c r="D58" s="75">
        <f t="shared" si="1"/>
        <v>3879.3451759678483</v>
      </c>
      <c r="E58" s="75">
        <f t="shared" si="4"/>
        <v>408612.84901542589</v>
      </c>
      <c r="G58" s="75">
        <f t="shared" si="2"/>
        <v>4562.9105114794111</v>
      </c>
      <c r="H58" s="75">
        <f t="shared" si="3"/>
        <v>1160.4444444444443</v>
      </c>
      <c r="I58" s="75">
        <f t="shared" si="5"/>
        <v>3402.4660670349663</v>
      </c>
      <c r="J58" s="75">
        <f t="shared" si="6"/>
        <v>357416.88888888923</v>
      </c>
      <c r="K58" s="71"/>
      <c r="L58" s="75">
        <f t="shared" si="7"/>
        <v>4559.975087585055</v>
      </c>
      <c r="M58" s="75">
        <f t="shared" si="8"/>
        <v>1184.4496002262272</v>
      </c>
      <c r="N58" s="75">
        <f t="shared" si="9"/>
        <v>3375.5254873588278</v>
      </c>
      <c r="O58" s="75">
        <f t="shared" si="10"/>
        <v>354553.68386207323</v>
      </c>
      <c r="T58" s="67"/>
    </row>
    <row r="59" spans="1:20" outlineLevel="1" x14ac:dyDescent="0.25">
      <c r="A59" s="71">
        <v>53</v>
      </c>
      <c r="B59" s="75">
        <f t="shared" si="11"/>
        <v>4100.9182743504398</v>
      </c>
      <c r="C59" s="75">
        <f t="shared" si="0"/>
        <v>223.67555963301729</v>
      </c>
      <c r="D59" s="75">
        <f t="shared" si="1"/>
        <v>3877.2427147174221</v>
      </c>
      <c r="E59" s="75">
        <f t="shared" si="4"/>
        <v>408389.17345579289</v>
      </c>
      <c r="G59" s="75">
        <f t="shared" si="2"/>
        <v>4551.8992944339898</v>
      </c>
      <c r="H59" s="75">
        <f t="shared" si="3"/>
        <v>1160.4444444444443</v>
      </c>
      <c r="I59" s="75">
        <f t="shared" si="5"/>
        <v>3391.4548499895454</v>
      </c>
      <c r="J59" s="75">
        <f t="shared" si="6"/>
        <v>356256.44444444479</v>
      </c>
      <c r="K59" s="71"/>
      <c r="L59" s="75">
        <f t="shared" si="7"/>
        <v>4559.975087585055</v>
      </c>
      <c r="M59" s="75">
        <f t="shared" si="8"/>
        <v>1195.6885972242235</v>
      </c>
      <c r="N59" s="75">
        <f t="shared" si="9"/>
        <v>3364.2864903608315</v>
      </c>
      <c r="O59" s="75">
        <f t="shared" si="10"/>
        <v>353357.99526484899</v>
      </c>
      <c r="T59" s="67"/>
    </row>
    <row r="60" spans="1:20" outlineLevel="1" x14ac:dyDescent="0.25">
      <c r="A60" s="71">
        <v>54</v>
      </c>
      <c r="B60" s="75">
        <f t="shared" si="11"/>
        <v>4100.9182743504398</v>
      </c>
      <c r="C60" s="75">
        <f t="shared" si="0"/>
        <v>225.79797070290198</v>
      </c>
      <c r="D60" s="75">
        <f t="shared" si="1"/>
        <v>3875.1203036475376</v>
      </c>
      <c r="E60" s="75">
        <f t="shared" si="4"/>
        <v>408163.37548508996</v>
      </c>
      <c r="G60" s="75">
        <f t="shared" si="2"/>
        <v>4540.8880773885694</v>
      </c>
      <c r="H60" s="75">
        <f t="shared" si="3"/>
        <v>1160.4444444444443</v>
      </c>
      <c r="I60" s="75">
        <f t="shared" si="5"/>
        <v>3380.4436329441251</v>
      </c>
      <c r="J60" s="75">
        <f t="shared" si="6"/>
        <v>355096.00000000035</v>
      </c>
      <c r="K60" s="71"/>
      <c r="L60" s="75">
        <f t="shared" si="7"/>
        <v>4559.975087585055</v>
      </c>
      <c r="M60" s="75">
        <f t="shared" si="8"/>
        <v>1207.0342387375267</v>
      </c>
      <c r="N60" s="75">
        <f t="shared" si="9"/>
        <v>3352.9408488475283</v>
      </c>
      <c r="O60" s="75">
        <f t="shared" si="10"/>
        <v>352150.96102611144</v>
      </c>
      <c r="T60" s="67"/>
    </row>
    <row r="61" spans="1:20" outlineLevel="1" x14ac:dyDescent="0.25">
      <c r="A61" s="71">
        <v>55</v>
      </c>
      <c r="B61" s="75">
        <f t="shared" si="11"/>
        <v>4100.9182743504389</v>
      </c>
      <c r="C61" s="75">
        <f t="shared" si="0"/>
        <v>227.94052089195091</v>
      </c>
      <c r="D61" s="75">
        <f t="shared" si="1"/>
        <v>3872.9777534584882</v>
      </c>
      <c r="E61" s="75">
        <f t="shared" si="4"/>
        <v>407935.43496419798</v>
      </c>
      <c r="G61" s="75">
        <f t="shared" si="2"/>
        <v>4529.876860343149</v>
      </c>
      <c r="H61" s="75">
        <f t="shared" si="3"/>
        <v>1160.4444444444443</v>
      </c>
      <c r="I61" s="75">
        <f t="shared" si="5"/>
        <v>3369.4324158987047</v>
      </c>
      <c r="J61" s="75">
        <f t="shared" si="6"/>
        <v>353935.55555555591</v>
      </c>
      <c r="K61" s="71"/>
      <c r="L61" s="75">
        <f t="shared" si="7"/>
        <v>4559.975087585055</v>
      </c>
      <c r="M61" s="75">
        <f t="shared" si="8"/>
        <v>1218.4875366938591</v>
      </c>
      <c r="N61" s="75">
        <f t="shared" si="9"/>
        <v>3341.487550891196</v>
      </c>
      <c r="O61" s="75">
        <f t="shared" si="10"/>
        <v>350932.47348941758</v>
      </c>
      <c r="T61" s="67"/>
    </row>
    <row r="62" spans="1:20" outlineLevel="1" x14ac:dyDescent="0.25">
      <c r="A62" s="71">
        <v>56</v>
      </c>
      <c r="B62" s="75">
        <f t="shared" si="11"/>
        <v>4100.9182743504389</v>
      </c>
      <c r="C62" s="75">
        <f t="shared" si="0"/>
        <v>230.10340129609565</v>
      </c>
      <c r="D62" s="75">
        <f t="shared" si="1"/>
        <v>3870.8148730543435</v>
      </c>
      <c r="E62" s="75">
        <f t="shared" si="4"/>
        <v>407705.33156290191</v>
      </c>
      <c r="G62" s="75">
        <f t="shared" si="2"/>
        <v>4518.8656432977277</v>
      </c>
      <c r="H62" s="75">
        <f t="shared" si="3"/>
        <v>1160.4444444444443</v>
      </c>
      <c r="I62" s="75">
        <f t="shared" si="5"/>
        <v>3358.4211988532838</v>
      </c>
      <c r="J62" s="75">
        <f t="shared" si="6"/>
        <v>352775.11111111147</v>
      </c>
      <c r="K62" s="71"/>
      <c r="L62" s="75">
        <f t="shared" si="7"/>
        <v>4559.975087585055</v>
      </c>
      <c r="M62" s="75">
        <f t="shared" si="8"/>
        <v>1230.0495126229175</v>
      </c>
      <c r="N62" s="75">
        <f t="shared" si="9"/>
        <v>3329.9255749621375</v>
      </c>
      <c r="O62" s="75">
        <f t="shared" si="10"/>
        <v>349702.42397679464</v>
      </c>
      <c r="T62" s="67"/>
    </row>
    <row r="63" spans="1:20" outlineLevel="1" x14ac:dyDescent="0.25">
      <c r="A63" s="71">
        <v>57</v>
      </c>
      <c r="B63" s="75">
        <f t="shared" si="11"/>
        <v>4100.9182743504389</v>
      </c>
      <c r="C63" s="75">
        <f t="shared" si="0"/>
        <v>232.28680482453754</v>
      </c>
      <c r="D63" s="75">
        <f t="shared" si="1"/>
        <v>3868.6314695259016</v>
      </c>
      <c r="E63" s="75">
        <f t="shared" si="4"/>
        <v>407473.04475807736</v>
      </c>
      <c r="G63" s="75">
        <f t="shared" si="2"/>
        <v>4507.8544262523083</v>
      </c>
      <c r="H63" s="75">
        <f t="shared" si="3"/>
        <v>1160.4444444444443</v>
      </c>
      <c r="I63" s="75">
        <f t="shared" si="5"/>
        <v>3347.4099818078635</v>
      </c>
      <c r="J63" s="75">
        <f t="shared" si="6"/>
        <v>351614.66666666704</v>
      </c>
      <c r="K63" s="71"/>
      <c r="L63" s="75">
        <f t="shared" si="7"/>
        <v>4559.975087585055</v>
      </c>
      <c r="M63" s="75">
        <f t="shared" si="8"/>
        <v>1241.7211977474813</v>
      </c>
      <c r="N63" s="75">
        <f t="shared" si="9"/>
        <v>3318.2538898375738</v>
      </c>
      <c r="O63" s="75">
        <f t="shared" si="10"/>
        <v>348460.70277904713</v>
      </c>
      <c r="T63" s="67"/>
    </row>
    <row r="64" spans="1:20" outlineLevel="1" x14ac:dyDescent="0.25">
      <c r="A64" s="71">
        <v>58</v>
      </c>
      <c r="B64" s="75">
        <f t="shared" si="11"/>
        <v>4100.9182743504389</v>
      </c>
      <c r="C64" s="75">
        <f t="shared" si="0"/>
        <v>234.49092621695351</v>
      </c>
      <c r="D64" s="75">
        <f t="shared" si="1"/>
        <v>3866.4273481334858</v>
      </c>
      <c r="E64" s="75">
        <f t="shared" si="4"/>
        <v>407238.55383186042</v>
      </c>
      <c r="G64" s="75">
        <f t="shared" si="2"/>
        <v>4496.843209206887</v>
      </c>
      <c r="H64" s="75">
        <f t="shared" si="3"/>
        <v>1160.4444444444443</v>
      </c>
      <c r="I64" s="75">
        <f t="shared" si="5"/>
        <v>3336.3987647624431</v>
      </c>
      <c r="J64" s="75">
        <f t="shared" si="6"/>
        <v>350454.2222222226</v>
      </c>
      <c r="K64" s="71"/>
      <c r="L64" s="75">
        <f t="shared" si="7"/>
        <v>4559.975087585055</v>
      </c>
      <c r="M64" s="75">
        <f t="shared" si="8"/>
        <v>1253.5036330753901</v>
      </c>
      <c r="N64" s="75">
        <f t="shared" si="9"/>
        <v>3306.4714545096649</v>
      </c>
      <c r="O64" s="75">
        <f t="shared" si="10"/>
        <v>347207.19914597174</v>
      </c>
      <c r="T64" s="67"/>
    </row>
    <row r="65" spans="1:20" outlineLevel="1" x14ac:dyDescent="0.25">
      <c r="A65" s="71">
        <v>59</v>
      </c>
      <c r="B65" s="75">
        <f t="shared" si="11"/>
        <v>4100.9182743504389</v>
      </c>
      <c r="C65" s="75">
        <f t="shared" si="0"/>
        <v>236.71596206086471</v>
      </c>
      <c r="D65" s="75">
        <f t="shared" si="1"/>
        <v>3864.2023122895744</v>
      </c>
      <c r="E65" s="75">
        <f t="shared" si="4"/>
        <v>407001.83786979958</v>
      </c>
      <c r="G65" s="75">
        <f t="shared" si="2"/>
        <v>4485.8319921614666</v>
      </c>
      <c r="H65" s="75">
        <f t="shared" si="3"/>
        <v>1160.4444444444443</v>
      </c>
      <c r="I65" s="75">
        <f t="shared" si="5"/>
        <v>3325.3875477170222</v>
      </c>
      <c r="J65" s="75">
        <f t="shared" si="6"/>
        <v>349293.77777777816</v>
      </c>
      <c r="K65" s="71"/>
      <c r="L65" s="75">
        <f t="shared" si="7"/>
        <v>4559.975087585055</v>
      </c>
      <c r="M65" s="75">
        <f t="shared" si="8"/>
        <v>1265.3978694923899</v>
      </c>
      <c r="N65" s="75">
        <f t="shared" si="9"/>
        <v>3294.5772180926651</v>
      </c>
      <c r="O65" s="75">
        <f t="shared" si="10"/>
        <v>345941.80127647932</v>
      </c>
      <c r="T65" s="67"/>
    </row>
    <row r="66" spans="1:20" s="61" customFormat="1" x14ac:dyDescent="0.25">
      <c r="A66" s="69">
        <v>60</v>
      </c>
      <c r="B66" s="73">
        <f t="shared" si="11"/>
        <v>4100.9182743504389</v>
      </c>
      <c r="C66" s="73">
        <f t="shared" si="0"/>
        <v>238.96211080917087</v>
      </c>
      <c r="D66" s="73">
        <f t="shared" si="1"/>
        <v>3861.9561635412683</v>
      </c>
      <c r="E66" s="73">
        <f t="shared" si="4"/>
        <v>406762.87575899041</v>
      </c>
      <c r="F66" s="64"/>
      <c r="G66" s="73">
        <f t="shared" si="2"/>
        <v>4474.8207751160462</v>
      </c>
      <c r="H66" s="73">
        <f t="shared" si="3"/>
        <v>1160.4444444444443</v>
      </c>
      <c r="I66" s="73">
        <f t="shared" si="5"/>
        <v>3314.3763306716019</v>
      </c>
      <c r="J66" s="73">
        <f t="shared" si="6"/>
        <v>348133.33333333372</v>
      </c>
      <c r="K66" s="69"/>
      <c r="L66" s="73">
        <f t="shared" si="7"/>
        <v>4559.975087585055</v>
      </c>
      <c r="M66" s="73">
        <f t="shared" si="8"/>
        <v>1277.4049678558658</v>
      </c>
      <c r="N66" s="73">
        <f t="shared" si="9"/>
        <v>3282.5701197291892</v>
      </c>
      <c r="O66" s="73">
        <f t="shared" si="10"/>
        <v>344664.39630862349</v>
      </c>
      <c r="T66" s="74"/>
    </row>
    <row r="67" spans="1:20" outlineLevel="1" x14ac:dyDescent="0.25">
      <c r="A67" s="71">
        <v>61</v>
      </c>
      <c r="B67" s="75">
        <f t="shared" si="11"/>
        <v>4100.9182743504398</v>
      </c>
      <c r="C67" s="75">
        <f t="shared" si="0"/>
        <v>241.22957279784995</v>
      </c>
      <c r="D67" s="75">
        <f t="shared" si="1"/>
        <v>3859.6887015525895</v>
      </c>
      <c r="E67" s="75">
        <f t="shared" si="4"/>
        <v>406521.64618619258</v>
      </c>
      <c r="G67" s="75">
        <f t="shared" si="2"/>
        <v>4463.8095580706258</v>
      </c>
      <c r="H67" s="75">
        <f t="shared" si="3"/>
        <v>1160.4444444444443</v>
      </c>
      <c r="I67" s="75">
        <f t="shared" si="5"/>
        <v>3303.3651136261815</v>
      </c>
      <c r="J67" s="75">
        <f t="shared" si="6"/>
        <v>346972.88888888928</v>
      </c>
      <c r="K67" s="71"/>
      <c r="L67" s="75">
        <f>+M67+N67</f>
        <v>4419.330409524342</v>
      </c>
      <c r="M67" s="75">
        <f>+O66/($C$3-A66)</f>
        <v>1148.8813210287449</v>
      </c>
      <c r="N67" s="75">
        <f t="shared" si="9"/>
        <v>3270.4490884955972</v>
      </c>
      <c r="O67" s="75">
        <f t="shared" si="10"/>
        <v>343515.51498759474</v>
      </c>
      <c r="T67" s="67"/>
    </row>
    <row r="68" spans="1:20" outlineLevel="1" x14ac:dyDescent="0.25">
      <c r="A68" s="71">
        <v>62</v>
      </c>
      <c r="B68" s="75">
        <f t="shared" si="11"/>
        <v>4100.9182743504398</v>
      </c>
      <c r="C68" s="75">
        <f t="shared" si="0"/>
        <v>243.5185502638268</v>
      </c>
      <c r="D68" s="75">
        <f t="shared" si="1"/>
        <v>3857.3997240866129</v>
      </c>
      <c r="E68" s="75">
        <f t="shared" si="4"/>
        <v>406278.12763592874</v>
      </c>
      <c r="G68" s="75">
        <f t="shared" si="2"/>
        <v>4452.7983410252054</v>
      </c>
      <c r="H68" s="75">
        <f t="shared" si="3"/>
        <v>1160.4444444444443</v>
      </c>
      <c r="I68" s="75">
        <f t="shared" si="5"/>
        <v>3292.3538965807606</v>
      </c>
      <c r="J68" s="75">
        <f t="shared" si="6"/>
        <v>345812.44444444485</v>
      </c>
      <c r="K68" s="71"/>
      <c r="L68" s="75">
        <f t="shared" si="7"/>
        <v>4419.330409524342</v>
      </c>
      <c r="M68" s="75">
        <f t="shared" si="8"/>
        <v>1159.7828179903968</v>
      </c>
      <c r="N68" s="75">
        <f t="shared" si="9"/>
        <v>3259.5475915339453</v>
      </c>
      <c r="O68" s="75">
        <f t="shared" si="10"/>
        <v>342355.73216960434</v>
      </c>
      <c r="T68" s="67"/>
    </row>
    <row r="69" spans="1:20" outlineLevel="1" x14ac:dyDescent="0.25">
      <c r="A69" s="71">
        <v>63</v>
      </c>
      <c r="B69" s="75">
        <f t="shared" si="11"/>
        <v>4100.9182743504398</v>
      </c>
      <c r="C69" s="75">
        <f t="shared" si="0"/>
        <v>245.8292473630101</v>
      </c>
      <c r="D69" s="75">
        <f t="shared" si="1"/>
        <v>3855.0890269874294</v>
      </c>
      <c r="E69" s="75">
        <f t="shared" si="4"/>
        <v>406032.29838856572</v>
      </c>
      <c r="G69" s="75">
        <f t="shared" si="2"/>
        <v>4441.7871239797842</v>
      </c>
      <c r="H69" s="75">
        <f t="shared" si="3"/>
        <v>1160.4444444444443</v>
      </c>
      <c r="I69" s="75">
        <f t="shared" si="5"/>
        <v>3281.3426795353403</v>
      </c>
      <c r="J69" s="75">
        <f t="shared" si="6"/>
        <v>344652.00000000041</v>
      </c>
      <c r="K69" s="71"/>
      <c r="L69" s="75">
        <f t="shared" si="7"/>
        <v>4419.330409524342</v>
      </c>
      <c r="M69" s="75">
        <f t="shared" si="8"/>
        <v>1170.7877569993948</v>
      </c>
      <c r="N69" s="75">
        <f t="shared" si="9"/>
        <v>3248.5426525249472</v>
      </c>
      <c r="O69" s="75">
        <f t="shared" si="10"/>
        <v>341184.94441260496</v>
      </c>
      <c r="T69" s="67"/>
    </row>
    <row r="70" spans="1:20" outlineLevel="1" x14ac:dyDescent="0.25">
      <c r="A70" s="71">
        <v>64</v>
      </c>
      <c r="B70" s="75">
        <f t="shared" si="11"/>
        <v>4100.9182743504398</v>
      </c>
      <c r="C70" s="75">
        <f t="shared" si="0"/>
        <v>248.16187018850206</v>
      </c>
      <c r="D70" s="75">
        <f t="shared" si="1"/>
        <v>3852.7564041619376</v>
      </c>
      <c r="E70" s="75">
        <f t="shared" si="4"/>
        <v>405784.13651837723</v>
      </c>
      <c r="G70" s="75">
        <f t="shared" si="2"/>
        <v>4430.7759069343647</v>
      </c>
      <c r="H70" s="75">
        <f t="shared" si="3"/>
        <v>1160.4444444444443</v>
      </c>
      <c r="I70" s="75">
        <f t="shared" si="5"/>
        <v>3270.3314624899199</v>
      </c>
      <c r="J70" s="75">
        <f t="shared" si="6"/>
        <v>343491.55555555597</v>
      </c>
      <c r="K70" s="71"/>
      <c r="L70" s="75">
        <f t="shared" si="7"/>
        <v>4419.330409524342</v>
      </c>
      <c r="M70" s="75">
        <f t="shared" si="8"/>
        <v>1181.897119595907</v>
      </c>
      <c r="N70" s="75">
        <f t="shared" si="9"/>
        <v>3237.433289928435</v>
      </c>
      <c r="O70" s="75">
        <f t="shared" si="10"/>
        <v>340003.04729300906</v>
      </c>
      <c r="T70" s="67"/>
    </row>
    <row r="71" spans="1:20" outlineLevel="1" x14ac:dyDescent="0.25">
      <c r="A71" s="71">
        <v>65</v>
      </c>
      <c r="B71" s="75">
        <f t="shared" si="11"/>
        <v>4100.9182743504398</v>
      </c>
      <c r="C71" s="75">
        <f t="shared" ref="C71:C134" si="12">IF(A71&gt;$C$3,0,PPMT($C$2,A71,$C$3,-$F$1))</f>
        <v>250.51662678897958</v>
      </c>
      <c r="D71" s="75">
        <f t="shared" si="1"/>
        <v>3850.4016475614599</v>
      </c>
      <c r="E71" s="75">
        <f t="shared" si="4"/>
        <v>405533.61989158823</v>
      </c>
      <c r="G71" s="75">
        <f t="shared" si="2"/>
        <v>4419.7646898889434</v>
      </c>
      <c r="H71" s="75">
        <f t="shared" si="3"/>
        <v>1160.4444444444443</v>
      </c>
      <c r="I71" s="75">
        <f t="shared" si="5"/>
        <v>3259.3202454444991</v>
      </c>
      <c r="J71" s="75">
        <f t="shared" si="6"/>
        <v>342331.11111111153</v>
      </c>
      <c r="K71" s="71"/>
      <c r="L71" s="75">
        <f t="shared" si="7"/>
        <v>4419.330409524342</v>
      </c>
      <c r="M71" s="75">
        <f t="shared" si="8"/>
        <v>1193.1118966337326</v>
      </c>
      <c r="N71" s="75">
        <f t="shared" si="9"/>
        <v>3226.2185128906094</v>
      </c>
      <c r="O71" s="75">
        <f t="shared" si="10"/>
        <v>338809.93539637531</v>
      </c>
      <c r="T71" s="67"/>
    </row>
    <row r="72" spans="1:20" outlineLevel="1" x14ac:dyDescent="0.25">
      <c r="A72" s="71">
        <v>66</v>
      </c>
      <c r="B72" s="75">
        <f t="shared" ref="B72:B126" si="13">+D72+C72</f>
        <v>4100.9182743504389</v>
      </c>
      <c r="C72" s="75">
        <f t="shared" si="12"/>
        <v>252.89372718725045</v>
      </c>
      <c r="D72" s="75">
        <f t="shared" si="1"/>
        <v>3848.0245471631888</v>
      </c>
      <c r="E72" s="75">
        <f t="shared" si="4"/>
        <v>405280.72616440098</v>
      </c>
      <c r="G72" s="75">
        <f t="shared" ref="G72:G126" si="14">+I72+H72</f>
        <v>4408.753472843523</v>
      </c>
      <c r="H72" s="75">
        <f t="shared" ref="H72:H135" si="15">IF(A72&gt;$C$3,0,+$F$2/$C$3)</f>
        <v>1160.4444444444443</v>
      </c>
      <c r="I72" s="75">
        <f t="shared" si="5"/>
        <v>3248.3090283990787</v>
      </c>
      <c r="J72" s="75">
        <f t="shared" si="6"/>
        <v>341170.66666666709</v>
      </c>
      <c r="K72" s="71"/>
      <c r="L72" s="75">
        <f t="shared" si="7"/>
        <v>4419.330409524342</v>
      </c>
      <c r="M72" s="75">
        <f t="shared" si="8"/>
        <v>1204.433088368678</v>
      </c>
      <c r="N72" s="75">
        <f t="shared" si="9"/>
        <v>3214.897321155664</v>
      </c>
      <c r="O72" s="75">
        <f t="shared" ref="O72:O135" si="16">IF(A72&gt;$C$3,0,+O71-M72)</f>
        <v>337605.50230800663</v>
      </c>
      <c r="T72" s="67"/>
    </row>
    <row r="73" spans="1:20" outlineLevel="1" x14ac:dyDescent="0.25">
      <c r="A73" s="71">
        <v>67</v>
      </c>
      <c r="B73" s="75">
        <f t="shared" si="13"/>
        <v>4100.9182743504398</v>
      </c>
      <c r="C73" s="75">
        <f t="shared" si="12"/>
        <v>255.29338339898518</v>
      </c>
      <c r="D73" s="75">
        <f t="shared" ref="D73:D126" si="17">+E72*$C$2</f>
        <v>3845.6248909514543</v>
      </c>
      <c r="E73" s="75">
        <f t="shared" ref="E73:E126" si="18">+E72-C73</f>
        <v>405025.43278100202</v>
      </c>
      <c r="G73" s="75">
        <f t="shared" si="14"/>
        <v>4397.7422557981026</v>
      </c>
      <c r="H73" s="75">
        <f t="shared" si="15"/>
        <v>1160.4444444444443</v>
      </c>
      <c r="I73" s="75">
        <f t="shared" ref="I73:I126" si="19">+J72*$C$2</f>
        <v>3237.2978113536583</v>
      </c>
      <c r="J73" s="75">
        <f t="shared" ref="J73:J126" si="20">+J72-H73</f>
        <v>340010.22222222266</v>
      </c>
      <c r="K73" s="71"/>
      <c r="L73" s="75">
        <f t="shared" ref="L73:L136" si="21">+L72</f>
        <v>4419.330409524342</v>
      </c>
      <c r="M73" s="75">
        <f t="shared" ref="M73:M136" si="22">+L73-N73</f>
        <v>1215.8617045477686</v>
      </c>
      <c r="N73" s="75">
        <f t="shared" ref="N73:N136" si="23">IF(A73&gt;$C$3,0,+O72*($C$2))</f>
        <v>3203.4687049765735</v>
      </c>
      <c r="O73" s="75">
        <f t="shared" si="16"/>
        <v>336389.64060345886</v>
      </c>
      <c r="T73" s="67"/>
    </row>
    <row r="74" spans="1:20" outlineLevel="1" x14ac:dyDescent="0.25">
      <c r="A74" s="71">
        <v>68</v>
      </c>
      <c r="B74" s="75">
        <f t="shared" si="13"/>
        <v>4100.9182743504398</v>
      </c>
      <c r="C74" s="75">
        <f t="shared" si="12"/>
        <v>257.71580945162736</v>
      </c>
      <c r="D74" s="75">
        <f t="shared" si="17"/>
        <v>3843.2024648988122</v>
      </c>
      <c r="E74" s="75">
        <f t="shared" si="18"/>
        <v>404767.71697155037</v>
      </c>
      <c r="G74" s="75">
        <f t="shared" si="14"/>
        <v>4386.7310387526813</v>
      </c>
      <c r="H74" s="75">
        <f t="shared" si="15"/>
        <v>1160.4444444444443</v>
      </c>
      <c r="I74" s="75">
        <f t="shared" si="19"/>
        <v>3226.2865943082375</v>
      </c>
      <c r="J74" s="75">
        <f t="shared" si="20"/>
        <v>338849.77777777822</v>
      </c>
      <c r="K74" s="71"/>
      <c r="L74" s="75">
        <f t="shared" si="21"/>
        <v>4419.330409524342</v>
      </c>
      <c r="M74" s="75">
        <f t="shared" si="22"/>
        <v>1227.3987644993117</v>
      </c>
      <c r="N74" s="75">
        <f t="shared" si="23"/>
        <v>3191.9316450250303</v>
      </c>
      <c r="O74" s="75">
        <f t="shared" si="16"/>
        <v>335162.24183895957</v>
      </c>
      <c r="T74" s="67"/>
    </row>
    <row r="75" spans="1:20" outlineLevel="1" x14ac:dyDescent="0.25">
      <c r="A75" s="71">
        <v>69</v>
      </c>
      <c r="B75" s="75">
        <f t="shared" si="13"/>
        <v>4100.9182743504398</v>
      </c>
      <c r="C75" s="75">
        <f t="shared" si="12"/>
        <v>260.16122140348227</v>
      </c>
      <c r="D75" s="75">
        <f t="shared" si="17"/>
        <v>3840.7570529469572</v>
      </c>
      <c r="E75" s="75">
        <f t="shared" si="18"/>
        <v>404507.55575014692</v>
      </c>
      <c r="G75" s="75">
        <f t="shared" si="14"/>
        <v>4375.7198217072619</v>
      </c>
      <c r="H75" s="75">
        <f t="shared" si="15"/>
        <v>1160.4444444444443</v>
      </c>
      <c r="I75" s="75">
        <f t="shared" si="19"/>
        <v>3215.2753772628171</v>
      </c>
      <c r="J75" s="75">
        <f t="shared" si="20"/>
        <v>337689.33333333378</v>
      </c>
      <c r="K75" s="71"/>
      <c r="L75" s="75">
        <f t="shared" si="21"/>
        <v>4419.330409524342</v>
      </c>
      <c r="M75" s="75">
        <f t="shared" si="22"/>
        <v>1239.0452972238086</v>
      </c>
      <c r="N75" s="75">
        <f t="shared" si="23"/>
        <v>3180.2851123005335</v>
      </c>
      <c r="O75" s="75">
        <f t="shared" si="16"/>
        <v>333923.19654173579</v>
      </c>
      <c r="T75" s="67"/>
    </row>
    <row r="76" spans="1:20" outlineLevel="1" x14ac:dyDescent="0.25">
      <c r="A76" s="71">
        <v>70</v>
      </c>
      <c r="B76" s="75">
        <f t="shared" si="13"/>
        <v>4100.9182743504398</v>
      </c>
      <c r="C76" s="75">
        <f t="shared" si="12"/>
        <v>262.62983736298816</v>
      </c>
      <c r="D76" s="75">
        <f t="shared" si="17"/>
        <v>3838.2884369874514</v>
      </c>
      <c r="E76" s="75">
        <f t="shared" si="18"/>
        <v>404244.92591278395</v>
      </c>
      <c r="G76" s="75">
        <f t="shared" si="14"/>
        <v>4364.7086046618406</v>
      </c>
      <c r="H76" s="75">
        <f t="shared" si="15"/>
        <v>1160.4444444444443</v>
      </c>
      <c r="I76" s="75">
        <f t="shared" si="19"/>
        <v>3204.2641602173967</v>
      </c>
      <c r="J76" s="75">
        <f t="shared" si="20"/>
        <v>336528.88888888934</v>
      </c>
      <c r="K76" s="71"/>
      <c r="L76" s="75">
        <f t="shared" si="21"/>
        <v>4419.330409524342</v>
      </c>
      <c r="M76" s="75">
        <f t="shared" si="22"/>
        <v>1250.8023414857339</v>
      </c>
      <c r="N76" s="75">
        <f t="shared" si="23"/>
        <v>3168.5280680386081</v>
      </c>
      <c r="O76" s="75">
        <f t="shared" si="16"/>
        <v>332672.39420025004</v>
      </c>
      <c r="T76" s="67"/>
    </row>
    <row r="77" spans="1:20" outlineLevel="1" x14ac:dyDescent="0.25">
      <c r="A77" s="71">
        <v>71</v>
      </c>
      <c r="B77" s="75">
        <f t="shared" si="13"/>
        <v>4100.9182743504398</v>
      </c>
      <c r="C77" s="75">
        <f t="shared" si="12"/>
        <v>265.12187750816878</v>
      </c>
      <c r="D77" s="75">
        <f t="shared" si="17"/>
        <v>3835.796396842271</v>
      </c>
      <c r="E77" s="75">
        <f t="shared" si="18"/>
        <v>403979.80403527577</v>
      </c>
      <c r="G77" s="75">
        <f t="shared" si="14"/>
        <v>4353.6973876164202</v>
      </c>
      <c r="H77" s="75">
        <f t="shared" si="15"/>
        <v>1160.4444444444443</v>
      </c>
      <c r="I77" s="75">
        <f t="shared" si="19"/>
        <v>3193.2529431719759</v>
      </c>
      <c r="J77" s="75">
        <f t="shared" si="20"/>
        <v>335368.4444444449</v>
      </c>
      <c r="K77" s="71"/>
      <c r="L77" s="75">
        <f t="shared" si="21"/>
        <v>4419.330409524342</v>
      </c>
      <c r="M77" s="75">
        <f t="shared" si="22"/>
        <v>1262.6709459061835</v>
      </c>
      <c r="N77" s="75">
        <f t="shared" si="23"/>
        <v>3156.6594636181585</v>
      </c>
      <c r="O77" s="75">
        <f t="shared" si="16"/>
        <v>331409.72325434384</v>
      </c>
      <c r="T77" s="67"/>
    </row>
    <row r="78" spans="1:20" s="61" customFormat="1" x14ac:dyDescent="0.25">
      <c r="A78" s="69">
        <v>72</v>
      </c>
      <c r="B78" s="73">
        <f t="shared" si="13"/>
        <v>4100.9182743504398</v>
      </c>
      <c r="C78" s="73">
        <f t="shared" si="12"/>
        <v>267.63756410627161</v>
      </c>
      <c r="D78" s="73">
        <f t="shared" si="17"/>
        <v>3833.2807102441679</v>
      </c>
      <c r="E78" s="73">
        <f t="shared" si="18"/>
        <v>403712.1664711695</v>
      </c>
      <c r="F78" s="64"/>
      <c r="G78" s="73">
        <f t="shared" si="14"/>
        <v>4342.6861705709998</v>
      </c>
      <c r="H78" s="73">
        <f t="shared" si="15"/>
        <v>1160.4444444444443</v>
      </c>
      <c r="I78" s="73">
        <f t="shared" si="19"/>
        <v>3182.2417261265555</v>
      </c>
      <c r="J78" s="73">
        <f t="shared" si="20"/>
        <v>334208.00000000047</v>
      </c>
      <c r="K78" s="69"/>
      <c r="L78" s="73">
        <f t="shared" si="21"/>
        <v>4419.330409524342</v>
      </c>
      <c r="M78" s="73">
        <f t="shared" si="22"/>
        <v>1274.6521690564018</v>
      </c>
      <c r="N78" s="73">
        <f t="shared" si="23"/>
        <v>3144.6782404679402</v>
      </c>
      <c r="O78" s="73">
        <f t="shared" si="16"/>
        <v>330135.07108528743</v>
      </c>
      <c r="T78" s="74"/>
    </row>
    <row r="79" spans="1:20" outlineLevel="1" x14ac:dyDescent="0.25">
      <c r="A79" s="71">
        <v>73</v>
      </c>
      <c r="B79" s="75">
        <f t="shared" si="13"/>
        <v>4100.9182743504398</v>
      </c>
      <c r="C79" s="75">
        <f t="shared" si="12"/>
        <v>270.17712153359219</v>
      </c>
      <c r="D79" s="75">
        <f t="shared" si="17"/>
        <v>3830.7411528168477</v>
      </c>
      <c r="E79" s="75">
        <f t="shared" si="18"/>
        <v>403441.9893496359</v>
      </c>
      <c r="G79" s="75">
        <f t="shared" si="14"/>
        <v>4331.6749535255794</v>
      </c>
      <c r="H79" s="75">
        <f t="shared" si="15"/>
        <v>1160.4444444444443</v>
      </c>
      <c r="I79" s="75">
        <f t="shared" si="19"/>
        <v>3171.2305090811351</v>
      </c>
      <c r="J79" s="75">
        <f t="shared" si="20"/>
        <v>333047.55555555603</v>
      </c>
      <c r="K79" s="71"/>
      <c r="L79" s="75">
        <f>+M79+N79</f>
        <v>4278.8856601293955</v>
      </c>
      <c r="M79" s="75">
        <f>+O78/($C$3-A78)</f>
        <v>1146.302330157248</v>
      </c>
      <c r="N79" s="75">
        <f t="shared" si="23"/>
        <v>3132.5833299721471</v>
      </c>
      <c r="O79" s="75">
        <f t="shared" si="16"/>
        <v>328988.76875513018</v>
      </c>
      <c r="T79" s="67"/>
    </row>
    <row r="80" spans="1:20" outlineLevel="1" x14ac:dyDescent="0.25">
      <c r="A80" s="71">
        <v>74</v>
      </c>
      <c r="B80" s="75">
        <f t="shared" si="13"/>
        <v>4100.9182743504398</v>
      </c>
      <c r="C80" s="75">
        <f t="shared" si="12"/>
        <v>272.74077629548611</v>
      </c>
      <c r="D80" s="75">
        <f t="shared" si="17"/>
        <v>3828.1774980549535</v>
      </c>
      <c r="E80" s="75">
        <f t="shared" si="18"/>
        <v>403169.24857334042</v>
      </c>
      <c r="G80" s="75">
        <f t="shared" si="14"/>
        <v>4320.6637364801591</v>
      </c>
      <c r="H80" s="75">
        <f t="shared" si="15"/>
        <v>1160.4444444444443</v>
      </c>
      <c r="I80" s="75">
        <f t="shared" si="19"/>
        <v>3160.2192920357143</v>
      </c>
      <c r="J80" s="75">
        <f t="shared" si="20"/>
        <v>331887.11111111159</v>
      </c>
      <c r="K80" s="71"/>
      <c r="L80" s="75">
        <f t="shared" si="21"/>
        <v>4278.8856601293955</v>
      </c>
      <c r="M80" s="75">
        <f t="shared" si="22"/>
        <v>1157.1793556085408</v>
      </c>
      <c r="N80" s="75">
        <f t="shared" si="23"/>
        <v>3121.7063045208547</v>
      </c>
      <c r="O80" s="75">
        <f t="shared" si="16"/>
        <v>327831.58939952165</v>
      </c>
      <c r="T80" s="67"/>
    </row>
    <row r="81" spans="1:20" outlineLevel="1" x14ac:dyDescent="0.25">
      <c r="A81" s="71">
        <v>75</v>
      </c>
      <c r="B81" s="75">
        <f t="shared" si="13"/>
        <v>4100.9182743504398</v>
      </c>
      <c r="C81" s="75">
        <f t="shared" si="12"/>
        <v>275.32875704657152</v>
      </c>
      <c r="D81" s="75">
        <f t="shared" si="17"/>
        <v>3825.5895173038684</v>
      </c>
      <c r="E81" s="75">
        <f t="shared" si="18"/>
        <v>402893.91981629387</v>
      </c>
      <c r="G81" s="75">
        <f t="shared" si="14"/>
        <v>4309.6525194347378</v>
      </c>
      <c r="H81" s="75">
        <f t="shared" si="15"/>
        <v>1160.4444444444443</v>
      </c>
      <c r="I81" s="75">
        <f t="shared" si="19"/>
        <v>3149.2080749902939</v>
      </c>
      <c r="J81" s="75">
        <f t="shared" si="20"/>
        <v>330726.66666666715</v>
      </c>
      <c r="K81" s="71"/>
      <c r="L81" s="75">
        <f t="shared" si="21"/>
        <v>4278.8856601293955</v>
      </c>
      <c r="M81" s="75">
        <f t="shared" si="22"/>
        <v>1168.1595909020843</v>
      </c>
      <c r="N81" s="75">
        <f t="shared" si="23"/>
        <v>3110.7260692273112</v>
      </c>
      <c r="O81" s="75">
        <f t="shared" si="16"/>
        <v>326663.42980861955</v>
      </c>
      <c r="T81" s="67"/>
    </row>
    <row r="82" spans="1:20" outlineLevel="1" x14ac:dyDescent="0.25">
      <c r="A82" s="71">
        <v>76</v>
      </c>
      <c r="B82" s="75">
        <f t="shared" si="13"/>
        <v>4100.9182743504398</v>
      </c>
      <c r="C82" s="75">
        <f t="shared" si="12"/>
        <v>277.94129461112254</v>
      </c>
      <c r="D82" s="75">
        <f t="shared" si="17"/>
        <v>3822.9769797393174</v>
      </c>
      <c r="E82" s="75">
        <f t="shared" si="18"/>
        <v>402615.97852168273</v>
      </c>
      <c r="G82" s="75">
        <f t="shared" si="14"/>
        <v>4298.6413023893183</v>
      </c>
      <c r="H82" s="75">
        <f t="shared" si="15"/>
        <v>1160.4444444444443</v>
      </c>
      <c r="I82" s="75">
        <f t="shared" si="19"/>
        <v>3138.1968579448735</v>
      </c>
      <c r="J82" s="75">
        <f t="shared" si="20"/>
        <v>329566.22222222271</v>
      </c>
      <c r="K82" s="71"/>
      <c r="L82" s="75">
        <f t="shared" si="21"/>
        <v>4278.8856601293955</v>
      </c>
      <c r="M82" s="75">
        <f t="shared" si="22"/>
        <v>1179.2440153747016</v>
      </c>
      <c r="N82" s="75">
        <f t="shared" si="23"/>
        <v>3099.641644754694</v>
      </c>
      <c r="O82" s="75">
        <f t="shared" si="16"/>
        <v>325484.18579324486</v>
      </c>
      <c r="T82" s="67"/>
    </row>
    <row r="83" spans="1:20" outlineLevel="1" x14ac:dyDescent="0.25">
      <c r="A83" s="71">
        <v>77</v>
      </c>
      <c r="B83" s="75">
        <f t="shared" si="13"/>
        <v>4100.9182743504398</v>
      </c>
      <c r="C83" s="75">
        <f t="shared" si="12"/>
        <v>280.57862200365742</v>
      </c>
      <c r="D83" s="75">
        <f t="shared" si="17"/>
        <v>3820.3396523467823</v>
      </c>
      <c r="E83" s="75">
        <f t="shared" si="18"/>
        <v>402335.39989967906</v>
      </c>
      <c r="G83" s="75">
        <f t="shared" si="14"/>
        <v>4287.630085343897</v>
      </c>
      <c r="H83" s="75">
        <f t="shared" si="15"/>
        <v>1160.4444444444443</v>
      </c>
      <c r="I83" s="75">
        <f t="shared" si="19"/>
        <v>3127.1856408994527</v>
      </c>
      <c r="J83" s="75">
        <f t="shared" si="20"/>
        <v>328405.77777777828</v>
      </c>
      <c r="K83" s="71"/>
      <c r="L83" s="75">
        <f t="shared" si="21"/>
        <v>4278.8856601293955</v>
      </c>
      <c r="M83" s="75">
        <f t="shared" si="22"/>
        <v>1190.4336176559382</v>
      </c>
      <c r="N83" s="75">
        <f t="shared" si="23"/>
        <v>3088.4520424734574</v>
      </c>
      <c r="O83" s="75">
        <f t="shared" si="16"/>
        <v>324293.75217558892</v>
      </c>
      <c r="T83" s="67"/>
    </row>
    <row r="84" spans="1:20" outlineLevel="1" x14ac:dyDescent="0.25">
      <c r="A84" s="71">
        <v>78</v>
      </c>
      <c r="B84" s="75">
        <f t="shared" si="13"/>
        <v>4100.9182743504398</v>
      </c>
      <c r="C84" s="75">
        <f t="shared" si="12"/>
        <v>283.24097444972074</v>
      </c>
      <c r="D84" s="75">
        <f t="shared" si="17"/>
        <v>3817.6772999007189</v>
      </c>
      <c r="E84" s="75">
        <f t="shared" si="18"/>
        <v>402052.15892522933</v>
      </c>
      <c r="G84" s="75">
        <f t="shared" si="14"/>
        <v>4276.6188682984766</v>
      </c>
      <c r="H84" s="75">
        <f t="shared" si="15"/>
        <v>1160.4444444444443</v>
      </c>
      <c r="I84" s="75">
        <f t="shared" si="19"/>
        <v>3116.1744238540323</v>
      </c>
      <c r="J84" s="75">
        <f t="shared" si="20"/>
        <v>327245.33333333384</v>
      </c>
      <c r="K84" s="71"/>
      <c r="L84" s="75">
        <f t="shared" si="21"/>
        <v>4278.8856601293955</v>
      </c>
      <c r="M84" s="75">
        <f t="shared" si="22"/>
        <v>1201.7293957562424</v>
      </c>
      <c r="N84" s="75">
        <f t="shared" si="23"/>
        <v>3077.1562643731531</v>
      </c>
      <c r="O84" s="75">
        <f t="shared" si="16"/>
        <v>323092.02277983265</v>
      </c>
      <c r="T84" s="67"/>
    </row>
    <row r="85" spans="1:20" outlineLevel="1" x14ac:dyDescent="0.25">
      <c r="A85" s="71">
        <v>79</v>
      </c>
      <c r="B85" s="75">
        <f t="shared" si="13"/>
        <v>4100.9182743504398</v>
      </c>
      <c r="C85" s="75">
        <f t="shared" si="12"/>
        <v>285.92858940686369</v>
      </c>
      <c r="D85" s="75">
        <f t="shared" si="17"/>
        <v>3814.9896849435759</v>
      </c>
      <c r="E85" s="75">
        <f t="shared" si="18"/>
        <v>401766.23033582245</v>
      </c>
      <c r="G85" s="75">
        <f t="shared" si="14"/>
        <v>4265.6076512530562</v>
      </c>
      <c r="H85" s="75">
        <f t="shared" si="15"/>
        <v>1160.4444444444443</v>
      </c>
      <c r="I85" s="75">
        <f t="shared" si="19"/>
        <v>3105.1632068086119</v>
      </c>
      <c r="J85" s="75">
        <f t="shared" si="20"/>
        <v>326084.8888888894</v>
      </c>
      <c r="K85" s="71"/>
      <c r="L85" s="75">
        <f t="shared" si="21"/>
        <v>4278.8856601293955</v>
      </c>
      <c r="M85" s="75">
        <f t="shared" si="22"/>
        <v>1213.1323571559751</v>
      </c>
      <c r="N85" s="75">
        <f t="shared" si="23"/>
        <v>3065.7533029734204</v>
      </c>
      <c r="O85" s="75">
        <f t="shared" si="16"/>
        <v>321878.89042267669</v>
      </c>
      <c r="T85" s="67"/>
    </row>
    <row r="86" spans="1:20" outlineLevel="1" x14ac:dyDescent="0.25">
      <c r="A86" s="71">
        <v>80</v>
      </c>
      <c r="B86" s="75">
        <f t="shared" si="13"/>
        <v>4100.9182743504398</v>
      </c>
      <c r="C86" s="75">
        <f t="shared" si="12"/>
        <v>288.64170658582282</v>
      </c>
      <c r="D86" s="75">
        <f t="shared" si="17"/>
        <v>3812.2765677646166</v>
      </c>
      <c r="E86" s="75">
        <f t="shared" si="18"/>
        <v>401477.58862923662</v>
      </c>
      <c r="G86" s="75">
        <f t="shared" si="14"/>
        <v>4254.596434207635</v>
      </c>
      <c r="H86" s="75">
        <f t="shared" si="15"/>
        <v>1160.4444444444443</v>
      </c>
      <c r="I86" s="75">
        <f t="shared" si="19"/>
        <v>3094.1519897631911</v>
      </c>
      <c r="J86" s="75">
        <f t="shared" si="20"/>
        <v>324924.44444444496</v>
      </c>
      <c r="K86" s="71"/>
      <c r="L86" s="75">
        <f t="shared" si="21"/>
        <v>4278.8856601293955</v>
      </c>
      <c r="M86" s="75">
        <f t="shared" si="22"/>
        <v>1224.6435188952705</v>
      </c>
      <c r="N86" s="75">
        <f t="shared" si="23"/>
        <v>3054.242141234125</v>
      </c>
      <c r="O86" s="75">
        <f t="shared" si="16"/>
        <v>320654.24690378143</v>
      </c>
      <c r="T86" s="67"/>
    </row>
    <row r="87" spans="1:20" outlineLevel="1" x14ac:dyDescent="0.25">
      <c r="A87" s="71">
        <v>81</v>
      </c>
      <c r="B87" s="75">
        <f t="shared" si="13"/>
        <v>4100.9182743504389</v>
      </c>
      <c r="C87" s="75">
        <f t="shared" si="12"/>
        <v>291.38056797190029</v>
      </c>
      <c r="D87" s="75">
        <f t="shared" si="17"/>
        <v>3809.537706378539</v>
      </c>
      <c r="E87" s="75">
        <f t="shared" si="18"/>
        <v>401186.20806126471</v>
      </c>
      <c r="G87" s="75">
        <f t="shared" si="14"/>
        <v>4243.5852171622155</v>
      </c>
      <c r="H87" s="75">
        <f t="shared" si="15"/>
        <v>1160.4444444444443</v>
      </c>
      <c r="I87" s="75">
        <f t="shared" si="19"/>
        <v>3083.1407727177707</v>
      </c>
      <c r="J87" s="75">
        <f t="shared" si="20"/>
        <v>323764.00000000052</v>
      </c>
      <c r="K87" s="71"/>
      <c r="L87" s="75">
        <f t="shared" si="21"/>
        <v>4278.8856601293955</v>
      </c>
      <c r="M87" s="75">
        <f t="shared" si="22"/>
        <v>1236.263907664747</v>
      </c>
      <c r="N87" s="75">
        <f t="shared" si="23"/>
        <v>3042.6217524646486</v>
      </c>
      <c r="O87" s="75">
        <f t="shared" si="16"/>
        <v>319417.98299611668</v>
      </c>
      <c r="T87" s="67"/>
    </row>
    <row r="88" spans="1:20" outlineLevel="1" x14ac:dyDescent="0.25">
      <c r="A88" s="71">
        <v>82</v>
      </c>
      <c r="B88" s="75">
        <f t="shared" si="13"/>
        <v>4100.9182743504398</v>
      </c>
      <c r="C88" s="75">
        <f t="shared" si="12"/>
        <v>294.14541784654705</v>
      </c>
      <c r="D88" s="75">
        <f t="shared" si="17"/>
        <v>3806.7728565038924</v>
      </c>
      <c r="E88" s="75">
        <f t="shared" si="18"/>
        <v>400892.06264341815</v>
      </c>
      <c r="G88" s="75">
        <f t="shared" si="14"/>
        <v>4232.5740001167942</v>
      </c>
      <c r="H88" s="75">
        <f t="shared" si="15"/>
        <v>1160.4444444444443</v>
      </c>
      <c r="I88" s="75">
        <f t="shared" si="19"/>
        <v>3072.1295556723503</v>
      </c>
      <c r="J88" s="75">
        <f t="shared" si="20"/>
        <v>322603.55555555609</v>
      </c>
      <c r="K88" s="71"/>
      <c r="L88" s="75">
        <f t="shared" si="21"/>
        <v>4278.8856601293955</v>
      </c>
      <c r="M88" s="75">
        <f t="shared" si="22"/>
        <v>1247.9945598970762</v>
      </c>
      <c r="N88" s="75">
        <f t="shared" si="23"/>
        <v>3030.8911002323193</v>
      </c>
      <c r="O88" s="75">
        <f t="shared" si="16"/>
        <v>318169.98843621963</v>
      </c>
      <c r="T88" s="67"/>
    </row>
    <row r="89" spans="1:20" outlineLevel="1" x14ac:dyDescent="0.25">
      <c r="A89" s="71">
        <v>83</v>
      </c>
      <c r="B89" s="75">
        <f t="shared" si="13"/>
        <v>4100.9182743504389</v>
      </c>
      <c r="C89" s="75">
        <f t="shared" si="12"/>
        <v>296.93650280914926</v>
      </c>
      <c r="D89" s="75">
        <f t="shared" si="17"/>
        <v>3803.9817715412901</v>
      </c>
      <c r="E89" s="75">
        <f t="shared" si="18"/>
        <v>400595.12614060898</v>
      </c>
      <c r="G89" s="75">
        <f t="shared" si="14"/>
        <v>4221.5627830713738</v>
      </c>
      <c r="H89" s="75">
        <f t="shared" si="15"/>
        <v>1160.4444444444443</v>
      </c>
      <c r="I89" s="75">
        <f t="shared" si="19"/>
        <v>3061.1183386269295</v>
      </c>
      <c r="J89" s="75">
        <f t="shared" si="20"/>
        <v>321443.11111111165</v>
      </c>
      <c r="K89" s="71"/>
      <c r="L89" s="75">
        <f t="shared" si="21"/>
        <v>4278.8856601293955</v>
      </c>
      <c r="M89" s="75">
        <f t="shared" si="22"/>
        <v>1259.8365218594254</v>
      </c>
      <c r="N89" s="75">
        <f t="shared" si="23"/>
        <v>3019.0491382699702</v>
      </c>
      <c r="O89" s="75">
        <f t="shared" si="16"/>
        <v>316910.15191436023</v>
      </c>
      <c r="T89" s="67"/>
    </row>
    <row r="90" spans="1:20" s="61" customFormat="1" x14ac:dyDescent="0.25">
      <c r="A90" s="69">
        <v>84</v>
      </c>
      <c r="B90" s="73">
        <f t="shared" si="13"/>
        <v>4100.9182743504389</v>
      </c>
      <c r="C90" s="73">
        <f t="shared" si="12"/>
        <v>299.75407179902453</v>
      </c>
      <c r="D90" s="73">
        <f t="shared" si="17"/>
        <v>3801.1642025514143</v>
      </c>
      <c r="E90" s="73">
        <f t="shared" si="18"/>
        <v>400295.37206880993</v>
      </c>
      <c r="F90" s="64"/>
      <c r="G90" s="73">
        <f t="shared" si="14"/>
        <v>4210.5515660259534</v>
      </c>
      <c r="H90" s="73">
        <f t="shared" si="15"/>
        <v>1160.4444444444443</v>
      </c>
      <c r="I90" s="73">
        <f t="shared" si="19"/>
        <v>3050.1071215815091</v>
      </c>
      <c r="J90" s="73">
        <f t="shared" si="20"/>
        <v>320282.66666666721</v>
      </c>
      <c r="K90" s="69"/>
      <c r="L90" s="73">
        <f t="shared" si="21"/>
        <v>4278.8856601293955</v>
      </c>
      <c r="M90" s="73">
        <f t="shared" si="22"/>
        <v>1271.7908497467743</v>
      </c>
      <c r="N90" s="73">
        <f t="shared" si="23"/>
        <v>3007.0948103826213</v>
      </c>
      <c r="O90" s="73">
        <f t="shared" si="16"/>
        <v>315638.36106461345</v>
      </c>
      <c r="T90" s="74"/>
    </row>
    <row r="91" spans="1:20" outlineLevel="1" x14ac:dyDescent="0.25">
      <c r="A91" s="71">
        <v>85</v>
      </c>
      <c r="B91" s="75">
        <f t="shared" si="13"/>
        <v>4100.9182743504389</v>
      </c>
      <c r="C91" s="75">
        <f t="shared" si="12"/>
        <v>302.59837611762356</v>
      </c>
      <c r="D91" s="75">
        <f t="shared" si="17"/>
        <v>3798.3198982328149</v>
      </c>
      <c r="E91" s="75">
        <f t="shared" si="18"/>
        <v>399992.77369269228</v>
      </c>
      <c r="G91" s="75">
        <f t="shared" si="14"/>
        <v>4199.5403489805331</v>
      </c>
      <c r="H91" s="75">
        <f t="shared" si="15"/>
        <v>1160.4444444444443</v>
      </c>
      <c r="I91" s="75">
        <f t="shared" si="19"/>
        <v>3039.0959045360887</v>
      </c>
      <c r="J91" s="75">
        <f t="shared" si="20"/>
        <v>319122.22222222277</v>
      </c>
      <c r="K91" s="71"/>
      <c r="L91" s="75">
        <f>+M91+N91</f>
        <v>4138.6443005873834</v>
      </c>
      <c r="M91" s="75">
        <f>+O90/($C$3-A90)</f>
        <v>1143.6172502341067</v>
      </c>
      <c r="N91" s="75">
        <f t="shared" si="23"/>
        <v>2995.0270503532765</v>
      </c>
      <c r="O91" s="75">
        <f t="shared" si="16"/>
        <v>314494.74381437933</v>
      </c>
      <c r="T91" s="67"/>
    </row>
    <row r="92" spans="1:20" outlineLevel="1" x14ac:dyDescent="0.25">
      <c r="A92" s="71">
        <v>86</v>
      </c>
      <c r="B92" s="75">
        <f t="shared" si="13"/>
        <v>4100.918274350438</v>
      </c>
      <c r="C92" s="75">
        <f t="shared" si="12"/>
        <v>305.46966945094476</v>
      </c>
      <c r="D92" s="75">
        <f t="shared" si="17"/>
        <v>3795.4486048994936</v>
      </c>
      <c r="E92" s="75">
        <f t="shared" si="18"/>
        <v>399687.30402324133</v>
      </c>
      <c r="G92" s="75">
        <f t="shared" si="14"/>
        <v>4188.5291319351127</v>
      </c>
      <c r="H92" s="75">
        <f t="shared" si="15"/>
        <v>1160.4444444444443</v>
      </c>
      <c r="I92" s="75">
        <f t="shared" si="19"/>
        <v>3028.0846874906679</v>
      </c>
      <c r="J92" s="75">
        <f t="shared" si="20"/>
        <v>317961.77777777833</v>
      </c>
      <c r="K92" s="71"/>
      <c r="L92" s="75">
        <f t="shared" si="21"/>
        <v>4138.6443005873834</v>
      </c>
      <c r="M92" s="75">
        <f t="shared" si="22"/>
        <v>1154.4687975179959</v>
      </c>
      <c r="N92" s="75">
        <f t="shared" si="23"/>
        <v>2984.1755030693876</v>
      </c>
      <c r="O92" s="75">
        <f t="shared" si="16"/>
        <v>313340.27501686133</v>
      </c>
      <c r="T92" s="67"/>
    </row>
    <row r="93" spans="1:20" outlineLevel="1" x14ac:dyDescent="0.25">
      <c r="A93" s="71">
        <v>87</v>
      </c>
      <c r="B93" s="75">
        <f t="shared" si="13"/>
        <v>4100.9182743504389</v>
      </c>
      <c r="C93" s="75">
        <f t="shared" si="12"/>
        <v>308.36820789216029</v>
      </c>
      <c r="D93" s="75">
        <f t="shared" si="17"/>
        <v>3792.5500664582783</v>
      </c>
      <c r="E93" s="75">
        <f t="shared" si="18"/>
        <v>399378.93581534916</v>
      </c>
      <c r="G93" s="75">
        <f t="shared" si="14"/>
        <v>4177.5179148896914</v>
      </c>
      <c r="H93" s="75">
        <f t="shared" si="15"/>
        <v>1160.4444444444443</v>
      </c>
      <c r="I93" s="75">
        <f t="shared" si="19"/>
        <v>3017.0734704452475</v>
      </c>
      <c r="J93" s="75">
        <f t="shared" si="20"/>
        <v>316801.3333333339</v>
      </c>
      <c r="K93" s="71"/>
      <c r="L93" s="75">
        <f t="shared" si="21"/>
        <v>4138.6443005873834</v>
      </c>
      <c r="M93" s="75">
        <f t="shared" si="22"/>
        <v>1165.423312887081</v>
      </c>
      <c r="N93" s="75">
        <f t="shared" si="23"/>
        <v>2973.2209877003024</v>
      </c>
      <c r="O93" s="75">
        <f t="shared" si="16"/>
        <v>312174.85170397424</v>
      </c>
      <c r="T93" s="67"/>
    </row>
    <row r="94" spans="1:20" outlineLevel="1" x14ac:dyDescent="0.25">
      <c r="A94" s="71">
        <v>88</v>
      </c>
      <c r="B94" s="75">
        <f t="shared" si="13"/>
        <v>4100.918274350438</v>
      </c>
      <c r="C94" s="75">
        <f t="shared" si="12"/>
        <v>311.29424996445744</v>
      </c>
      <c r="D94" s="75">
        <f t="shared" si="17"/>
        <v>3789.6240243859806</v>
      </c>
      <c r="E94" s="75">
        <f t="shared" si="18"/>
        <v>399067.64156538469</v>
      </c>
      <c r="G94" s="75">
        <f t="shared" si="14"/>
        <v>4166.5066978442719</v>
      </c>
      <c r="H94" s="75">
        <f t="shared" si="15"/>
        <v>1160.4444444444443</v>
      </c>
      <c r="I94" s="75">
        <f t="shared" si="19"/>
        <v>3006.0622533998271</v>
      </c>
      <c r="J94" s="75">
        <f t="shared" si="20"/>
        <v>315640.88888888946</v>
      </c>
      <c r="K94" s="71"/>
      <c r="L94" s="75">
        <f t="shared" si="21"/>
        <v>4138.6443005873834</v>
      </c>
      <c r="M94" s="75">
        <f t="shared" si="22"/>
        <v>1176.4817733842024</v>
      </c>
      <c r="N94" s="75">
        <f t="shared" si="23"/>
        <v>2962.1625272031811</v>
      </c>
      <c r="O94" s="75">
        <f t="shared" si="16"/>
        <v>310998.36993059004</v>
      </c>
      <c r="T94" s="67"/>
    </row>
    <row r="95" spans="1:20" outlineLevel="1" x14ac:dyDescent="0.25">
      <c r="A95" s="71">
        <v>89</v>
      </c>
      <c r="B95" s="75">
        <f t="shared" si="13"/>
        <v>4100.918274350438</v>
      </c>
      <c r="C95" s="75">
        <f t="shared" si="12"/>
        <v>314.24805664409661</v>
      </c>
      <c r="D95" s="75">
        <f t="shared" si="17"/>
        <v>3786.6702177063416</v>
      </c>
      <c r="E95" s="75">
        <f t="shared" si="18"/>
        <v>398753.39350874058</v>
      </c>
      <c r="G95" s="75">
        <f t="shared" si="14"/>
        <v>4155.4954807988506</v>
      </c>
      <c r="H95" s="75">
        <f t="shared" si="15"/>
        <v>1160.4444444444443</v>
      </c>
      <c r="I95" s="75">
        <f t="shared" si="19"/>
        <v>2995.0510363544063</v>
      </c>
      <c r="J95" s="75">
        <f t="shared" si="20"/>
        <v>314480.44444444502</v>
      </c>
      <c r="K95" s="71"/>
      <c r="L95" s="75">
        <f t="shared" si="21"/>
        <v>4138.6443005873834</v>
      </c>
      <c r="M95" s="75">
        <f t="shared" si="22"/>
        <v>1187.6451653231566</v>
      </c>
      <c r="N95" s="75">
        <f t="shared" si="23"/>
        <v>2950.9991352642269</v>
      </c>
      <c r="O95" s="75">
        <f t="shared" si="16"/>
        <v>309810.72476526687</v>
      </c>
      <c r="T95" s="67"/>
    </row>
    <row r="96" spans="1:20" outlineLevel="1" x14ac:dyDescent="0.25">
      <c r="A96" s="71">
        <v>90</v>
      </c>
      <c r="B96" s="75">
        <f t="shared" si="13"/>
        <v>4100.918274350438</v>
      </c>
      <c r="C96" s="75">
        <f t="shared" si="12"/>
        <v>317.22989138368752</v>
      </c>
      <c r="D96" s="75">
        <f t="shared" si="17"/>
        <v>3783.6883829667504</v>
      </c>
      <c r="E96" s="75">
        <f t="shared" si="18"/>
        <v>398436.16361735691</v>
      </c>
      <c r="G96" s="75">
        <f t="shared" si="14"/>
        <v>4144.4842637534302</v>
      </c>
      <c r="H96" s="75">
        <f t="shared" si="15"/>
        <v>1160.4444444444443</v>
      </c>
      <c r="I96" s="75">
        <f t="shared" si="19"/>
        <v>2984.0398193089859</v>
      </c>
      <c r="J96" s="75">
        <f t="shared" si="20"/>
        <v>313320.00000000058</v>
      </c>
      <c r="K96" s="71"/>
      <c r="L96" s="75">
        <f t="shared" si="21"/>
        <v>4138.6443005873834</v>
      </c>
      <c r="M96" s="75">
        <f t="shared" si="22"/>
        <v>1198.9144843766667</v>
      </c>
      <c r="N96" s="75">
        <f t="shared" si="23"/>
        <v>2939.7298162107168</v>
      </c>
      <c r="O96" s="75">
        <f t="shared" si="16"/>
        <v>308611.8102808902</v>
      </c>
      <c r="T96" s="67"/>
    </row>
    <row r="97" spans="1:20" outlineLevel="1" x14ac:dyDescent="0.25">
      <c r="A97" s="71">
        <v>91</v>
      </c>
      <c r="B97" s="75">
        <f t="shared" si="13"/>
        <v>4100.9182743504389</v>
      </c>
      <c r="C97" s="75">
        <f t="shared" si="12"/>
        <v>320.2400201356877</v>
      </c>
      <c r="D97" s="75">
        <f t="shared" si="17"/>
        <v>3780.6782542147507</v>
      </c>
      <c r="E97" s="75">
        <f t="shared" si="18"/>
        <v>398115.9235972212</v>
      </c>
      <c r="G97" s="75">
        <f t="shared" si="14"/>
        <v>4133.4730467080099</v>
      </c>
      <c r="H97" s="75">
        <f t="shared" si="15"/>
        <v>1160.4444444444443</v>
      </c>
      <c r="I97" s="75">
        <f t="shared" si="19"/>
        <v>2973.0286022635655</v>
      </c>
      <c r="J97" s="75">
        <f t="shared" si="20"/>
        <v>312159.55555555614</v>
      </c>
      <c r="K97" s="71"/>
      <c r="L97" s="75">
        <f t="shared" si="21"/>
        <v>4138.6443005873834</v>
      </c>
      <c r="M97" s="75">
        <f t="shared" si="22"/>
        <v>1210.290735665189</v>
      </c>
      <c r="N97" s="75">
        <f t="shared" si="23"/>
        <v>2928.3535649221944</v>
      </c>
      <c r="O97" s="75">
        <f t="shared" si="16"/>
        <v>307401.51954522502</v>
      </c>
      <c r="T97" s="67"/>
    </row>
    <row r="98" spans="1:20" outlineLevel="1" x14ac:dyDescent="0.25">
      <c r="A98" s="71">
        <v>92</v>
      </c>
      <c r="B98" s="75">
        <f t="shared" si="13"/>
        <v>4100.918274350438</v>
      </c>
      <c r="C98" s="75">
        <f t="shared" si="12"/>
        <v>323.27871137612186</v>
      </c>
      <c r="D98" s="75">
        <f t="shared" si="17"/>
        <v>3777.639562974316</v>
      </c>
      <c r="E98" s="75">
        <f t="shared" si="18"/>
        <v>397792.64488584507</v>
      </c>
      <c r="G98" s="75">
        <f t="shared" si="14"/>
        <v>4122.4618296625886</v>
      </c>
      <c r="H98" s="75">
        <f t="shared" si="15"/>
        <v>1160.4444444444443</v>
      </c>
      <c r="I98" s="75">
        <f t="shared" si="19"/>
        <v>2962.0173852181447</v>
      </c>
      <c r="J98" s="75">
        <f t="shared" si="20"/>
        <v>310999.11111111171</v>
      </c>
      <c r="K98" s="71"/>
      <c r="L98" s="75">
        <f t="shared" si="21"/>
        <v>4138.6443005873834</v>
      </c>
      <c r="M98" s="75">
        <f t="shared" si="22"/>
        <v>1221.7749338465601</v>
      </c>
      <c r="N98" s="75">
        <f t="shared" si="23"/>
        <v>2916.8693667408234</v>
      </c>
      <c r="O98" s="75">
        <f t="shared" si="16"/>
        <v>306179.74461137847</v>
      </c>
      <c r="T98" s="67"/>
    </row>
    <row r="99" spans="1:20" outlineLevel="1" x14ac:dyDescent="0.25">
      <c r="A99" s="71">
        <v>93</v>
      </c>
      <c r="B99" s="75">
        <f t="shared" si="13"/>
        <v>4100.918274350438</v>
      </c>
      <c r="C99" s="75">
        <f t="shared" si="12"/>
        <v>326.34623612852869</v>
      </c>
      <c r="D99" s="75">
        <f t="shared" si="17"/>
        <v>3774.5720382219092</v>
      </c>
      <c r="E99" s="75">
        <f t="shared" si="18"/>
        <v>397466.29864971654</v>
      </c>
      <c r="G99" s="75">
        <f t="shared" si="14"/>
        <v>4111.4506126171691</v>
      </c>
      <c r="H99" s="75">
        <f t="shared" si="15"/>
        <v>1160.4444444444443</v>
      </c>
      <c r="I99" s="75">
        <f t="shared" si="19"/>
        <v>2951.0061681727243</v>
      </c>
      <c r="J99" s="75">
        <f t="shared" si="20"/>
        <v>309838.66666666727</v>
      </c>
      <c r="K99" s="71"/>
      <c r="L99" s="75">
        <f t="shared" si="21"/>
        <v>4138.6443005873834</v>
      </c>
      <c r="M99" s="75">
        <f t="shared" si="22"/>
        <v>1233.3681032064942</v>
      </c>
      <c r="N99" s="75">
        <f t="shared" si="23"/>
        <v>2905.2761973808892</v>
      </c>
      <c r="O99" s="75">
        <f t="shared" si="16"/>
        <v>304946.37650817196</v>
      </c>
      <c r="T99" s="67"/>
    </row>
    <row r="100" spans="1:20" outlineLevel="1" x14ac:dyDescent="0.25">
      <c r="A100" s="71">
        <v>94</v>
      </c>
      <c r="B100" s="75">
        <f t="shared" si="13"/>
        <v>4100.918274350438</v>
      </c>
      <c r="C100" s="75">
        <f t="shared" si="12"/>
        <v>329.44286798813283</v>
      </c>
      <c r="D100" s="75">
        <f t="shared" si="17"/>
        <v>3771.475406362305</v>
      </c>
      <c r="E100" s="75">
        <f t="shared" si="18"/>
        <v>397136.8557817284</v>
      </c>
      <c r="G100" s="75">
        <f t="shared" si="14"/>
        <v>4100.4393955717478</v>
      </c>
      <c r="H100" s="75">
        <f t="shared" si="15"/>
        <v>1160.4444444444443</v>
      </c>
      <c r="I100" s="75">
        <f t="shared" si="19"/>
        <v>2939.9949511273039</v>
      </c>
      <c r="J100" s="75">
        <f t="shared" si="20"/>
        <v>308678.22222222283</v>
      </c>
      <c r="K100" s="71"/>
      <c r="L100" s="75">
        <f t="shared" si="21"/>
        <v>4138.6443005873834</v>
      </c>
      <c r="M100" s="75">
        <f t="shared" si="22"/>
        <v>1245.0712777499402</v>
      </c>
      <c r="N100" s="75">
        <f t="shared" si="23"/>
        <v>2893.5730228374432</v>
      </c>
      <c r="O100" s="75">
        <f t="shared" si="16"/>
        <v>303701.305230422</v>
      </c>
      <c r="T100" s="67"/>
    </row>
    <row r="101" spans="1:20" outlineLevel="1" x14ac:dyDescent="0.25">
      <c r="A101" s="71">
        <v>95</v>
      </c>
      <c r="B101" s="75">
        <f t="shared" si="13"/>
        <v>4100.918274350438</v>
      </c>
      <c r="C101" s="75">
        <f t="shared" si="12"/>
        <v>332.56888314624746</v>
      </c>
      <c r="D101" s="75">
        <f t="shared" si="17"/>
        <v>3768.3493912041904</v>
      </c>
      <c r="E101" s="75">
        <f t="shared" si="18"/>
        <v>396804.28689858213</v>
      </c>
      <c r="G101" s="75">
        <f t="shared" si="14"/>
        <v>4089.4281785263274</v>
      </c>
      <c r="H101" s="75">
        <f t="shared" si="15"/>
        <v>1160.4444444444443</v>
      </c>
      <c r="I101" s="75">
        <f t="shared" si="19"/>
        <v>2928.9837340818831</v>
      </c>
      <c r="J101" s="75">
        <f t="shared" si="20"/>
        <v>307517.77777777839</v>
      </c>
      <c r="K101" s="71"/>
      <c r="L101" s="75">
        <f t="shared" si="21"/>
        <v>4138.6443005873834</v>
      </c>
      <c r="M101" s="75">
        <f t="shared" si="22"/>
        <v>1256.8855012933063</v>
      </c>
      <c r="N101" s="75">
        <f t="shared" si="23"/>
        <v>2881.7587992940771</v>
      </c>
      <c r="O101" s="75">
        <f t="shared" si="16"/>
        <v>302444.41972912871</v>
      </c>
      <c r="T101" s="67"/>
    </row>
    <row r="102" spans="1:20" s="61" customFormat="1" x14ac:dyDescent="0.25">
      <c r="A102" s="69">
        <v>96</v>
      </c>
      <c r="B102" s="73">
        <f t="shared" si="13"/>
        <v>4100.918274350438</v>
      </c>
      <c r="C102" s="73">
        <f t="shared" si="12"/>
        <v>335.72456041490773</v>
      </c>
      <c r="D102" s="73">
        <f t="shared" si="17"/>
        <v>3765.19371393553</v>
      </c>
      <c r="E102" s="73">
        <f t="shared" si="18"/>
        <v>396468.56233816722</v>
      </c>
      <c r="F102" s="64"/>
      <c r="G102" s="73">
        <f t="shared" si="14"/>
        <v>4078.416961480907</v>
      </c>
      <c r="H102" s="73">
        <f t="shared" si="15"/>
        <v>1160.4444444444443</v>
      </c>
      <c r="I102" s="73">
        <f t="shared" si="19"/>
        <v>2917.9725170364627</v>
      </c>
      <c r="J102" s="73">
        <f t="shared" si="20"/>
        <v>306357.33333333395</v>
      </c>
      <c r="K102" s="69"/>
      <c r="L102" s="73">
        <f t="shared" si="21"/>
        <v>4138.6443005873834</v>
      </c>
      <c r="M102" s="73">
        <f t="shared" si="22"/>
        <v>1268.811827557558</v>
      </c>
      <c r="N102" s="73">
        <f t="shared" si="23"/>
        <v>2869.8324730298255</v>
      </c>
      <c r="O102" s="73">
        <f t="shared" si="16"/>
        <v>301175.60790157114</v>
      </c>
      <c r="T102" s="74"/>
    </row>
    <row r="103" spans="1:20" outlineLevel="1" x14ac:dyDescent="0.25">
      <c r="A103" s="71">
        <v>97</v>
      </c>
      <c r="B103" s="75">
        <f t="shared" si="13"/>
        <v>4100.9182743504371</v>
      </c>
      <c r="C103" s="75">
        <f t="shared" si="12"/>
        <v>338.91018125173872</v>
      </c>
      <c r="D103" s="75">
        <f t="shared" si="17"/>
        <v>3762.0080930986987</v>
      </c>
      <c r="E103" s="75">
        <f t="shared" si="18"/>
        <v>396129.65215691546</v>
      </c>
      <c r="G103" s="75">
        <f t="shared" si="14"/>
        <v>4067.4057444354867</v>
      </c>
      <c r="H103" s="75">
        <f t="shared" si="15"/>
        <v>1160.4444444444443</v>
      </c>
      <c r="I103" s="75">
        <f t="shared" si="19"/>
        <v>2906.9612999910423</v>
      </c>
      <c r="J103" s="75">
        <f t="shared" si="20"/>
        <v>305196.88888888952</v>
      </c>
      <c r="K103" s="71"/>
      <c r="L103" s="75">
        <f>+M103+N103</f>
        <v>3998.6096769220421</v>
      </c>
      <c r="M103" s="75">
        <f>+O102/($C$3-A102)</f>
        <v>1140.8166965968603</v>
      </c>
      <c r="N103" s="75">
        <f t="shared" si="23"/>
        <v>2857.7929803251818</v>
      </c>
      <c r="O103" s="75">
        <f t="shared" si="16"/>
        <v>300034.79120497429</v>
      </c>
      <c r="T103" s="67"/>
    </row>
    <row r="104" spans="1:20" outlineLevel="1" x14ac:dyDescent="0.25">
      <c r="A104" s="71">
        <v>98</v>
      </c>
      <c r="B104" s="75">
        <f t="shared" si="13"/>
        <v>4100.9182743504371</v>
      </c>
      <c r="C104" s="75">
        <f t="shared" si="12"/>
        <v>342.12602978505851</v>
      </c>
      <c r="D104" s="75">
        <f t="shared" si="17"/>
        <v>3758.792244565379</v>
      </c>
      <c r="E104" s="75">
        <f t="shared" si="18"/>
        <v>395787.52612713038</v>
      </c>
      <c r="G104" s="75">
        <f t="shared" si="14"/>
        <v>4056.3945273900658</v>
      </c>
      <c r="H104" s="75">
        <f t="shared" si="15"/>
        <v>1160.4444444444443</v>
      </c>
      <c r="I104" s="75">
        <f t="shared" si="19"/>
        <v>2895.9500829456215</v>
      </c>
      <c r="J104" s="75">
        <f t="shared" si="20"/>
        <v>304036.44444444508</v>
      </c>
      <c r="K104" s="71"/>
      <c r="L104" s="75">
        <f t="shared" si="21"/>
        <v>3998.6096769220421</v>
      </c>
      <c r="M104" s="75">
        <f t="shared" si="22"/>
        <v>1151.6416700071827</v>
      </c>
      <c r="N104" s="75">
        <f t="shared" si="23"/>
        <v>2846.9680069148594</v>
      </c>
      <c r="O104" s="75">
        <f t="shared" si="16"/>
        <v>298883.14953496709</v>
      </c>
      <c r="T104" s="67"/>
    </row>
    <row r="105" spans="1:20" outlineLevel="1" x14ac:dyDescent="0.25">
      <c r="A105" s="71">
        <v>99</v>
      </c>
      <c r="B105" s="75">
        <f t="shared" si="13"/>
        <v>4100.9182743504371</v>
      </c>
      <c r="C105" s="75">
        <f t="shared" si="12"/>
        <v>345.37239283921986</v>
      </c>
      <c r="D105" s="75">
        <f t="shared" si="17"/>
        <v>3755.5458815112174</v>
      </c>
      <c r="E105" s="75">
        <f t="shared" si="18"/>
        <v>395442.15373429115</v>
      </c>
      <c r="G105" s="75">
        <f t="shared" si="14"/>
        <v>4045.3833103446455</v>
      </c>
      <c r="H105" s="75">
        <f t="shared" si="15"/>
        <v>1160.4444444444443</v>
      </c>
      <c r="I105" s="75">
        <f t="shared" si="19"/>
        <v>2884.9388659002011</v>
      </c>
      <c r="J105" s="75">
        <f t="shared" si="20"/>
        <v>302876.00000000064</v>
      </c>
      <c r="K105" s="71"/>
      <c r="L105" s="75">
        <f t="shared" si="21"/>
        <v>3998.6096769220421</v>
      </c>
      <c r="M105" s="75">
        <f t="shared" si="22"/>
        <v>1162.5693593487185</v>
      </c>
      <c r="N105" s="75">
        <f t="shared" si="23"/>
        <v>2836.0403175733236</v>
      </c>
      <c r="O105" s="75">
        <f t="shared" si="16"/>
        <v>297720.58017561835</v>
      </c>
      <c r="T105" s="67"/>
    </row>
    <row r="106" spans="1:20" outlineLevel="1" x14ac:dyDescent="0.25">
      <c r="A106" s="71">
        <v>100</v>
      </c>
      <c r="B106" s="75">
        <f t="shared" si="13"/>
        <v>4100.9182743504371</v>
      </c>
      <c r="C106" s="75">
        <f t="shared" si="12"/>
        <v>348.64955996019268</v>
      </c>
      <c r="D106" s="75">
        <f t="shared" si="17"/>
        <v>3752.2687143902444</v>
      </c>
      <c r="E106" s="75">
        <f t="shared" si="18"/>
        <v>395093.50417433097</v>
      </c>
      <c r="G106" s="75">
        <f t="shared" si="14"/>
        <v>4034.3720932992251</v>
      </c>
      <c r="H106" s="75">
        <f t="shared" si="15"/>
        <v>1160.4444444444443</v>
      </c>
      <c r="I106" s="75">
        <f t="shared" si="19"/>
        <v>2873.9276488547807</v>
      </c>
      <c r="J106" s="75">
        <f t="shared" si="20"/>
        <v>301715.5555555562</v>
      </c>
      <c r="K106" s="71"/>
      <c r="L106" s="75">
        <f t="shared" si="21"/>
        <v>3998.6096769220421</v>
      </c>
      <c r="M106" s="75">
        <f t="shared" si="22"/>
        <v>1173.6007392716697</v>
      </c>
      <c r="N106" s="75">
        <f t="shared" si="23"/>
        <v>2825.0089376503724</v>
      </c>
      <c r="O106" s="75">
        <f t="shared" si="16"/>
        <v>296546.97943634668</v>
      </c>
      <c r="T106" s="67"/>
    </row>
    <row r="107" spans="1:20" outlineLevel="1" x14ac:dyDescent="0.25">
      <c r="A107" s="71">
        <v>101</v>
      </c>
      <c r="B107" s="75">
        <f t="shared" si="13"/>
        <v>4100.9182743504371</v>
      </c>
      <c r="C107" s="75">
        <f t="shared" si="12"/>
        <v>351.95782344138837</v>
      </c>
      <c r="D107" s="75">
        <f t="shared" si="17"/>
        <v>3748.9604509090486</v>
      </c>
      <c r="E107" s="75">
        <f t="shared" si="18"/>
        <v>394741.54635088961</v>
      </c>
      <c r="G107" s="75">
        <f t="shared" si="14"/>
        <v>4023.3608762538042</v>
      </c>
      <c r="H107" s="75">
        <f t="shared" si="15"/>
        <v>1160.4444444444443</v>
      </c>
      <c r="I107" s="75">
        <f t="shared" si="19"/>
        <v>2862.9164318093599</v>
      </c>
      <c r="J107" s="75">
        <f t="shared" si="20"/>
        <v>300555.11111111176</v>
      </c>
      <c r="K107" s="71"/>
      <c r="L107" s="75">
        <f t="shared" si="21"/>
        <v>3998.6096769220421</v>
      </c>
      <c r="M107" s="75">
        <f t="shared" si="22"/>
        <v>1184.7367936744922</v>
      </c>
      <c r="N107" s="75">
        <f t="shared" si="23"/>
        <v>2813.8728832475499</v>
      </c>
      <c r="O107" s="75">
        <f t="shared" si="16"/>
        <v>295362.24264267221</v>
      </c>
      <c r="T107" s="67"/>
    </row>
    <row r="108" spans="1:20" outlineLevel="1" x14ac:dyDescent="0.25">
      <c r="A108" s="71">
        <v>102</v>
      </c>
      <c r="B108" s="75">
        <f t="shared" si="13"/>
        <v>4100.918274350438</v>
      </c>
      <c r="C108" s="75">
        <f t="shared" si="12"/>
        <v>355.29747834973034</v>
      </c>
      <c r="D108" s="75">
        <f t="shared" si="17"/>
        <v>3745.6207960007073</v>
      </c>
      <c r="E108" s="75">
        <f t="shared" si="18"/>
        <v>394386.2488725399</v>
      </c>
      <c r="G108" s="75">
        <f t="shared" si="14"/>
        <v>4012.3496592083839</v>
      </c>
      <c r="H108" s="75">
        <f t="shared" si="15"/>
        <v>1160.4444444444443</v>
      </c>
      <c r="I108" s="75">
        <f t="shared" si="19"/>
        <v>2851.9052147639395</v>
      </c>
      <c r="J108" s="75">
        <f t="shared" si="20"/>
        <v>299394.66666666733</v>
      </c>
      <c r="K108" s="71"/>
      <c r="L108" s="75">
        <f t="shared" si="21"/>
        <v>3998.6096769220421</v>
      </c>
      <c r="M108" s="75">
        <f t="shared" si="22"/>
        <v>1195.9785157916508</v>
      </c>
      <c r="N108" s="75">
        <f t="shared" si="23"/>
        <v>2802.6311611303913</v>
      </c>
      <c r="O108" s="75">
        <f t="shared" si="16"/>
        <v>294166.26412688056</v>
      </c>
      <c r="T108" s="67"/>
    </row>
    <row r="109" spans="1:20" outlineLevel="1" x14ac:dyDescent="0.25">
      <c r="A109" s="71">
        <v>103</v>
      </c>
      <c r="B109" s="75">
        <f t="shared" si="13"/>
        <v>4100.918274350438</v>
      </c>
      <c r="C109" s="75">
        <f t="shared" si="12"/>
        <v>358.66882255197049</v>
      </c>
      <c r="D109" s="75">
        <f t="shared" si="17"/>
        <v>3742.2494517984674</v>
      </c>
      <c r="E109" s="75">
        <f t="shared" si="18"/>
        <v>394027.58004998794</v>
      </c>
      <c r="G109" s="75">
        <f t="shared" si="14"/>
        <v>4001.3384421629635</v>
      </c>
      <c r="H109" s="75">
        <f t="shared" si="15"/>
        <v>1160.4444444444443</v>
      </c>
      <c r="I109" s="75">
        <f t="shared" si="19"/>
        <v>2840.8939977185191</v>
      </c>
      <c r="J109" s="75">
        <f t="shared" si="20"/>
        <v>298234.22222222289</v>
      </c>
      <c r="K109" s="71"/>
      <c r="L109" s="75">
        <f t="shared" si="21"/>
        <v>3998.6096769220421</v>
      </c>
      <c r="M109" s="75">
        <f t="shared" si="22"/>
        <v>1207.326908282208</v>
      </c>
      <c r="N109" s="75">
        <f t="shared" si="23"/>
        <v>2791.2827686398341</v>
      </c>
      <c r="O109" s="75">
        <f t="shared" si="16"/>
        <v>292958.93721859832</v>
      </c>
      <c r="T109" s="67"/>
    </row>
    <row r="110" spans="1:20" outlineLevel="1" x14ac:dyDescent="0.25">
      <c r="A110" s="71">
        <v>104</v>
      </c>
      <c r="B110" s="75">
        <f t="shared" si="13"/>
        <v>4100.918274350438</v>
      </c>
      <c r="C110" s="75">
        <f t="shared" si="12"/>
        <v>362.07215674125683</v>
      </c>
      <c r="D110" s="75">
        <f t="shared" si="17"/>
        <v>3738.846117609181</v>
      </c>
      <c r="E110" s="75">
        <f t="shared" si="18"/>
        <v>393665.50789324666</v>
      </c>
      <c r="G110" s="75">
        <f t="shared" si="14"/>
        <v>3990.3272251175426</v>
      </c>
      <c r="H110" s="75">
        <f t="shared" si="15"/>
        <v>1160.4444444444443</v>
      </c>
      <c r="I110" s="75">
        <f t="shared" si="19"/>
        <v>2829.8827806730983</v>
      </c>
      <c r="J110" s="75">
        <f t="shared" si="20"/>
        <v>297073.77777777845</v>
      </c>
      <c r="K110" s="71"/>
      <c r="L110" s="75">
        <f t="shared" si="21"/>
        <v>3998.6096769220421</v>
      </c>
      <c r="M110" s="75">
        <f t="shared" si="22"/>
        <v>1218.7829833192482</v>
      </c>
      <c r="N110" s="75">
        <f t="shared" si="23"/>
        <v>2779.826693602794</v>
      </c>
      <c r="O110" s="75">
        <f t="shared" si="16"/>
        <v>291740.15423527907</v>
      </c>
      <c r="T110" s="67"/>
    </row>
    <row r="111" spans="1:20" outlineLevel="1" x14ac:dyDescent="0.25">
      <c r="A111" s="71">
        <v>105</v>
      </c>
      <c r="B111" s="75">
        <f t="shared" si="13"/>
        <v>4100.918274350438</v>
      </c>
      <c r="C111" s="75">
        <f t="shared" si="12"/>
        <v>365.50778446395248</v>
      </c>
      <c r="D111" s="75">
        <f t="shared" si="17"/>
        <v>3735.4104898864853</v>
      </c>
      <c r="E111" s="75">
        <f t="shared" si="18"/>
        <v>393300.00010878273</v>
      </c>
      <c r="G111" s="75">
        <f t="shared" si="14"/>
        <v>3979.3160080721223</v>
      </c>
      <c r="H111" s="75">
        <f t="shared" si="15"/>
        <v>1160.4444444444443</v>
      </c>
      <c r="I111" s="75">
        <f t="shared" si="19"/>
        <v>2818.8715636276779</v>
      </c>
      <c r="J111" s="75">
        <f t="shared" si="20"/>
        <v>295913.33333333401</v>
      </c>
      <c r="K111" s="71"/>
      <c r="L111" s="75">
        <f t="shared" si="21"/>
        <v>3998.6096769220421</v>
      </c>
      <c r="M111" s="75">
        <f t="shared" si="22"/>
        <v>1230.3477626801582</v>
      </c>
      <c r="N111" s="75">
        <f t="shared" si="23"/>
        <v>2768.2619142418839</v>
      </c>
      <c r="O111" s="75">
        <f t="shared" si="16"/>
        <v>290509.80647259892</v>
      </c>
      <c r="T111" s="67"/>
    </row>
    <row r="112" spans="1:20" outlineLevel="1" x14ac:dyDescent="0.25">
      <c r="A112" s="71">
        <v>106</v>
      </c>
      <c r="B112" s="75">
        <f t="shared" si="13"/>
        <v>4100.918274350438</v>
      </c>
      <c r="C112" s="75">
        <f t="shared" si="12"/>
        <v>368.97601214670908</v>
      </c>
      <c r="D112" s="75">
        <f t="shared" si="17"/>
        <v>3731.9422622037287</v>
      </c>
      <c r="E112" s="75">
        <f t="shared" si="18"/>
        <v>392931.02409663604</v>
      </c>
      <c r="G112" s="75">
        <f t="shared" si="14"/>
        <v>3968.3047910267019</v>
      </c>
      <c r="H112" s="75">
        <f t="shared" si="15"/>
        <v>1160.4444444444443</v>
      </c>
      <c r="I112" s="75">
        <f t="shared" si="19"/>
        <v>2807.8603465822575</v>
      </c>
      <c r="J112" s="75">
        <f t="shared" si="20"/>
        <v>294752.88888888957</v>
      </c>
      <c r="K112" s="71"/>
      <c r="L112" s="75">
        <f t="shared" si="21"/>
        <v>3998.6096769220421</v>
      </c>
      <c r="M112" s="75">
        <f t="shared" si="22"/>
        <v>1242.0222778377574</v>
      </c>
      <c r="N112" s="75">
        <f t="shared" si="23"/>
        <v>2756.5873990842847</v>
      </c>
      <c r="O112" s="75">
        <f t="shared" si="16"/>
        <v>289267.78419476119</v>
      </c>
      <c r="T112" s="67"/>
    </row>
    <row r="113" spans="1:20" outlineLevel="1" x14ac:dyDescent="0.25">
      <c r="A113" s="71">
        <v>107</v>
      </c>
      <c r="B113" s="75">
        <f t="shared" si="13"/>
        <v>4100.918274350438</v>
      </c>
      <c r="C113" s="75">
        <f t="shared" si="12"/>
        <v>372.4771491237974</v>
      </c>
      <c r="D113" s="75">
        <f t="shared" si="17"/>
        <v>3728.4411252266405</v>
      </c>
      <c r="E113" s="75">
        <f t="shared" si="18"/>
        <v>392558.54694751225</v>
      </c>
      <c r="G113" s="75">
        <f t="shared" si="14"/>
        <v>3957.293573981281</v>
      </c>
      <c r="H113" s="75">
        <f t="shared" si="15"/>
        <v>1160.4444444444443</v>
      </c>
      <c r="I113" s="75">
        <f t="shared" si="19"/>
        <v>2796.8491295368367</v>
      </c>
      <c r="J113" s="75">
        <f t="shared" si="20"/>
        <v>293592.44444444514</v>
      </c>
      <c r="K113" s="71"/>
      <c r="L113" s="75">
        <f t="shared" si="21"/>
        <v>3998.6096769220421</v>
      </c>
      <c r="M113" s="75">
        <f t="shared" si="22"/>
        <v>1253.8075700522991</v>
      </c>
      <c r="N113" s="75">
        <f t="shared" si="23"/>
        <v>2744.8021068697431</v>
      </c>
      <c r="O113" s="75">
        <f t="shared" si="16"/>
        <v>288013.97662470891</v>
      </c>
      <c r="T113" s="67"/>
    </row>
    <row r="114" spans="1:20" s="61" customFormat="1" x14ac:dyDescent="0.25">
      <c r="A114" s="69">
        <v>108</v>
      </c>
      <c r="B114" s="73">
        <f t="shared" si="13"/>
        <v>4100.918274350438</v>
      </c>
      <c r="C114" s="73">
        <f t="shared" si="12"/>
        <v>376.01150766469686</v>
      </c>
      <c r="D114" s="73">
        <f t="shared" si="17"/>
        <v>3724.9067666857413</v>
      </c>
      <c r="E114" s="73">
        <f t="shared" si="18"/>
        <v>392182.53543984756</v>
      </c>
      <c r="F114" s="64"/>
      <c r="G114" s="73">
        <f t="shared" si="14"/>
        <v>3946.2823569358607</v>
      </c>
      <c r="H114" s="73">
        <f t="shared" si="15"/>
        <v>1160.4444444444443</v>
      </c>
      <c r="I114" s="73">
        <f t="shared" si="19"/>
        <v>2785.8379124914163</v>
      </c>
      <c r="J114" s="73">
        <f>+J113-H114</f>
        <v>292432.0000000007</v>
      </c>
      <c r="K114" s="69"/>
      <c r="L114" s="73">
        <f t="shared" si="21"/>
        <v>3998.6096769220421</v>
      </c>
      <c r="M114" s="73">
        <f t="shared" si="22"/>
        <v>1265.7046904643375</v>
      </c>
      <c r="N114" s="73">
        <f t="shared" si="23"/>
        <v>2732.9049864577046</v>
      </c>
      <c r="O114" s="73">
        <f t="shared" si="16"/>
        <v>286748.27193424455</v>
      </c>
      <c r="T114" s="74"/>
    </row>
    <row r="115" spans="1:20" outlineLevel="1" x14ac:dyDescent="0.25">
      <c r="A115" s="71">
        <v>109</v>
      </c>
      <c r="B115" s="75">
        <f t="shared" si="13"/>
        <v>4100.918274350438</v>
      </c>
      <c r="C115" s="75">
        <f t="shared" si="12"/>
        <v>379.5794030019477</v>
      </c>
      <c r="D115" s="75">
        <f t="shared" si="17"/>
        <v>3721.3388713484906</v>
      </c>
      <c r="E115" s="75">
        <f t="shared" si="18"/>
        <v>391802.95603684563</v>
      </c>
      <c r="G115" s="75">
        <f t="shared" si="14"/>
        <v>3935.2711398904403</v>
      </c>
      <c r="H115" s="75">
        <f t="shared" si="15"/>
        <v>1160.4444444444443</v>
      </c>
      <c r="I115" s="75">
        <f t="shared" si="19"/>
        <v>2774.8266954459959</v>
      </c>
      <c r="J115" s="75">
        <f t="shared" si="20"/>
        <v>291271.55555555626</v>
      </c>
      <c r="K115" s="71"/>
      <c r="L115" s="75">
        <f>+M115+N115</f>
        <v>3858.7849447265917</v>
      </c>
      <c r="M115" s="75">
        <f>+O114/($C$3-A114)</f>
        <v>1137.8899679930339</v>
      </c>
      <c r="N115" s="75">
        <f t="shared" si="23"/>
        <v>2720.8949767335575</v>
      </c>
      <c r="O115" s="75">
        <f t="shared" si="16"/>
        <v>285610.38196625153</v>
      </c>
      <c r="T115" s="67"/>
    </row>
    <row r="116" spans="1:20" outlineLevel="1" x14ac:dyDescent="0.25">
      <c r="A116" s="71">
        <v>110</v>
      </c>
      <c r="B116" s="75">
        <f t="shared" si="13"/>
        <v>4100.9182743504389</v>
      </c>
      <c r="C116" s="75">
        <f t="shared" si="12"/>
        <v>383.18115335926586</v>
      </c>
      <c r="D116" s="75">
        <f t="shared" si="17"/>
        <v>3717.7371209911726</v>
      </c>
      <c r="E116" s="75">
        <f t="shared" si="18"/>
        <v>391419.77488348639</v>
      </c>
      <c r="G116" s="75">
        <f t="shared" si="14"/>
        <v>3924.2599228450194</v>
      </c>
      <c r="H116" s="75">
        <f t="shared" si="15"/>
        <v>1160.4444444444443</v>
      </c>
      <c r="I116" s="75">
        <f t="shared" si="19"/>
        <v>2763.8154784005751</v>
      </c>
      <c r="J116" s="75">
        <f t="shared" si="20"/>
        <v>290111.11111111182</v>
      </c>
      <c r="K116" s="71"/>
      <c r="L116" s="75">
        <f t="shared" si="21"/>
        <v>3858.7849447265917</v>
      </c>
      <c r="M116" s="75">
        <f t="shared" si="22"/>
        <v>1148.6871702816593</v>
      </c>
      <c r="N116" s="75">
        <f t="shared" si="23"/>
        <v>2710.0977744449324</v>
      </c>
      <c r="O116" s="75">
        <f t="shared" si="16"/>
        <v>284461.69479596987</v>
      </c>
      <c r="T116" s="67"/>
    </row>
    <row r="117" spans="1:20" outlineLevel="1" x14ac:dyDescent="0.25">
      <c r="A117" s="71">
        <v>111</v>
      </c>
      <c r="B117" s="75">
        <f t="shared" si="13"/>
        <v>4100.9182743504389</v>
      </c>
      <c r="C117" s="75">
        <f t="shared" si="12"/>
        <v>386.81707997992658</v>
      </c>
      <c r="D117" s="75">
        <f t="shared" si="17"/>
        <v>3714.1011943705121</v>
      </c>
      <c r="E117" s="75">
        <f t="shared" si="18"/>
        <v>391032.95780350646</v>
      </c>
      <c r="G117" s="75">
        <f t="shared" si="14"/>
        <v>3913.2487057995991</v>
      </c>
      <c r="H117" s="75">
        <f t="shared" si="15"/>
        <v>1160.4444444444443</v>
      </c>
      <c r="I117" s="75">
        <f t="shared" si="19"/>
        <v>2752.8042613551547</v>
      </c>
      <c r="J117" s="75">
        <f t="shared" si="20"/>
        <v>288950.66666666738</v>
      </c>
      <c r="K117" s="71"/>
      <c r="L117" s="75">
        <f t="shared" si="21"/>
        <v>3858.7849447265917</v>
      </c>
      <c r="M117" s="75">
        <f t="shared" si="22"/>
        <v>1159.5868249870741</v>
      </c>
      <c r="N117" s="75">
        <f t="shared" si="23"/>
        <v>2699.1981197395176</v>
      </c>
      <c r="O117" s="75">
        <f t="shared" si="16"/>
        <v>283302.10797098279</v>
      </c>
      <c r="T117" s="67"/>
    </row>
    <row r="118" spans="1:20" outlineLevel="1" x14ac:dyDescent="0.25">
      <c r="A118" s="71">
        <v>112</v>
      </c>
      <c r="B118" s="75">
        <f t="shared" si="13"/>
        <v>4100.9182743504389</v>
      </c>
      <c r="C118" s="75">
        <f t="shared" si="12"/>
        <v>390.48750715541615</v>
      </c>
      <c r="D118" s="75">
        <f t="shared" si="17"/>
        <v>3710.4307671950223</v>
      </c>
      <c r="E118" s="75">
        <f t="shared" si="18"/>
        <v>390642.47029635106</v>
      </c>
      <c r="G118" s="75">
        <f t="shared" si="14"/>
        <v>3902.2374887541787</v>
      </c>
      <c r="H118" s="75">
        <f t="shared" si="15"/>
        <v>1160.4444444444443</v>
      </c>
      <c r="I118" s="75">
        <f t="shared" si="19"/>
        <v>2741.7930443097343</v>
      </c>
      <c r="J118" s="75">
        <f t="shared" si="20"/>
        <v>287790.22222222295</v>
      </c>
      <c r="K118" s="71"/>
      <c r="L118" s="75">
        <f t="shared" si="21"/>
        <v>3858.7849447265917</v>
      </c>
      <c r="M118" s="75">
        <f t="shared" si="22"/>
        <v>1170.5899042590472</v>
      </c>
      <c r="N118" s="75">
        <f t="shared" si="23"/>
        <v>2688.1950404675445</v>
      </c>
      <c r="O118" s="75">
        <f t="shared" si="16"/>
        <v>282131.51806672371</v>
      </c>
      <c r="T118" s="67"/>
    </row>
    <row r="119" spans="1:20" outlineLevel="1" x14ac:dyDescent="0.25">
      <c r="A119" s="71">
        <v>113</v>
      </c>
      <c r="B119" s="75">
        <f t="shared" si="13"/>
        <v>4100.9182743504389</v>
      </c>
      <c r="C119" s="75">
        <f t="shared" si="12"/>
        <v>394.19276225435539</v>
      </c>
      <c r="D119" s="75">
        <f t="shared" si="17"/>
        <v>3706.7255120960831</v>
      </c>
      <c r="E119" s="75">
        <f t="shared" si="18"/>
        <v>390248.27753409673</v>
      </c>
      <c r="G119" s="75">
        <f t="shared" si="14"/>
        <v>3891.2262717087583</v>
      </c>
      <c r="H119" s="75">
        <f t="shared" si="15"/>
        <v>1160.4444444444443</v>
      </c>
      <c r="I119" s="75">
        <f t="shared" si="19"/>
        <v>2730.781827264314</v>
      </c>
      <c r="J119" s="75">
        <f t="shared" si="20"/>
        <v>286629.77777777851</v>
      </c>
      <c r="K119" s="71"/>
      <c r="L119" s="75">
        <f t="shared" si="21"/>
        <v>3858.7849447265917</v>
      </c>
      <c r="M119" s="75">
        <f t="shared" si="22"/>
        <v>1181.6973894718749</v>
      </c>
      <c r="N119" s="75">
        <f t="shared" si="23"/>
        <v>2677.0875552547168</v>
      </c>
      <c r="O119" s="75">
        <f t="shared" si="16"/>
        <v>280949.82067725185</v>
      </c>
      <c r="T119" s="67"/>
    </row>
    <row r="120" spans="1:20" outlineLevel="1" x14ac:dyDescent="0.25">
      <c r="A120" s="71">
        <v>114</v>
      </c>
      <c r="B120" s="75">
        <f t="shared" si="13"/>
        <v>4100.9182743504389</v>
      </c>
      <c r="C120" s="75">
        <f t="shared" si="12"/>
        <v>397.93317575169823</v>
      </c>
      <c r="D120" s="75">
        <f t="shared" si="17"/>
        <v>3702.9850985987405</v>
      </c>
      <c r="E120" s="75">
        <f t="shared" si="18"/>
        <v>389850.34435834503</v>
      </c>
      <c r="G120" s="75">
        <f t="shared" si="14"/>
        <v>3880.2150546633375</v>
      </c>
      <c r="H120" s="75">
        <f t="shared" si="15"/>
        <v>1160.4444444444443</v>
      </c>
      <c r="I120" s="75">
        <f t="shared" si="19"/>
        <v>2719.7706102188931</v>
      </c>
      <c r="J120" s="75">
        <f t="shared" si="20"/>
        <v>285469.33333333407</v>
      </c>
      <c r="K120" s="71"/>
      <c r="L120" s="75">
        <f t="shared" si="21"/>
        <v>3858.7849447265917</v>
      </c>
      <c r="M120" s="75">
        <f t="shared" si="22"/>
        <v>1192.9102713119105</v>
      </c>
      <c r="N120" s="75">
        <f t="shared" si="23"/>
        <v>2665.8746734146812</v>
      </c>
      <c r="O120" s="75">
        <f t="shared" si="16"/>
        <v>279756.91040593991</v>
      </c>
      <c r="T120" s="67"/>
    </row>
    <row r="121" spans="1:20" outlineLevel="1" x14ac:dyDescent="0.25">
      <c r="A121" s="71">
        <v>115</v>
      </c>
      <c r="B121" s="75">
        <f t="shared" si="13"/>
        <v>4100.9182743504389</v>
      </c>
      <c r="C121" s="75">
        <f t="shared" si="12"/>
        <v>401.70908125820716</v>
      </c>
      <c r="D121" s="75">
        <f t="shared" si="17"/>
        <v>3699.2091930922315</v>
      </c>
      <c r="E121" s="75">
        <f t="shared" si="18"/>
        <v>389448.63527708681</v>
      </c>
      <c r="G121" s="75">
        <f t="shared" si="14"/>
        <v>3869.2038376179171</v>
      </c>
      <c r="H121" s="75">
        <f t="shared" si="15"/>
        <v>1160.4444444444443</v>
      </c>
      <c r="I121" s="75">
        <f t="shared" si="19"/>
        <v>2708.7593931734727</v>
      </c>
      <c r="J121" s="75">
        <f t="shared" si="20"/>
        <v>284308.88888888963</v>
      </c>
      <c r="K121" s="71"/>
      <c r="L121" s="75">
        <f t="shared" si="21"/>
        <v>3858.7849447265917</v>
      </c>
      <c r="M121" s="75">
        <f t="shared" si="22"/>
        <v>1204.2295498659269</v>
      </c>
      <c r="N121" s="75">
        <f t="shared" si="23"/>
        <v>2654.5553948606648</v>
      </c>
      <c r="O121" s="75">
        <f t="shared" si="16"/>
        <v>278552.68085607397</v>
      </c>
      <c r="T121" s="67"/>
    </row>
    <row r="122" spans="1:20" outlineLevel="1" x14ac:dyDescent="0.25">
      <c r="A122" s="71">
        <v>116</v>
      </c>
      <c r="B122" s="75">
        <f t="shared" si="13"/>
        <v>4100.9182743504389</v>
      </c>
      <c r="C122" s="75">
        <f t="shared" si="12"/>
        <v>405.520815550208</v>
      </c>
      <c r="D122" s="75">
        <f t="shared" si="17"/>
        <v>3695.3974588002307</v>
      </c>
      <c r="E122" s="75">
        <f t="shared" si="18"/>
        <v>389043.11446153658</v>
      </c>
      <c r="G122" s="75">
        <f t="shared" si="14"/>
        <v>3858.1926205724967</v>
      </c>
      <c r="H122" s="75">
        <f t="shared" si="15"/>
        <v>1160.4444444444443</v>
      </c>
      <c r="I122" s="75">
        <f t="shared" si="19"/>
        <v>2697.7481761280524</v>
      </c>
      <c r="J122" s="75">
        <f t="shared" si="20"/>
        <v>283148.44444444519</v>
      </c>
      <c r="K122" s="71"/>
      <c r="L122" s="75">
        <f t="shared" si="21"/>
        <v>3858.7849447265917</v>
      </c>
      <c r="M122" s="75">
        <f t="shared" si="22"/>
        <v>1215.6562347103109</v>
      </c>
      <c r="N122" s="75">
        <f t="shared" si="23"/>
        <v>2643.1287100162808</v>
      </c>
      <c r="O122" s="75">
        <f t="shared" si="16"/>
        <v>277337.02462136367</v>
      </c>
      <c r="T122" s="67"/>
    </row>
    <row r="123" spans="1:20" outlineLevel="1" x14ac:dyDescent="0.25">
      <c r="A123" s="71">
        <v>117</v>
      </c>
      <c r="B123" s="75">
        <f t="shared" si="13"/>
        <v>4100.9182743504389</v>
      </c>
      <c r="C123" s="75">
        <f t="shared" si="12"/>
        <v>409.36871859962713</v>
      </c>
      <c r="D123" s="75">
        <f t="shared" si="17"/>
        <v>3691.5495557508116</v>
      </c>
      <c r="E123" s="75">
        <f t="shared" si="18"/>
        <v>388633.74574293697</v>
      </c>
      <c r="G123" s="75">
        <f t="shared" si="14"/>
        <v>3847.1814035270759</v>
      </c>
      <c r="H123" s="75">
        <f t="shared" si="15"/>
        <v>1160.4444444444443</v>
      </c>
      <c r="I123" s="75">
        <f t="shared" si="19"/>
        <v>2686.7369590826315</v>
      </c>
      <c r="J123" s="75">
        <f t="shared" si="20"/>
        <v>281988.00000000076</v>
      </c>
      <c r="K123" s="71"/>
      <c r="L123" s="75">
        <f t="shared" si="21"/>
        <v>3858.7849447265917</v>
      </c>
      <c r="M123" s="75">
        <f t="shared" si="22"/>
        <v>1227.191345001112</v>
      </c>
      <c r="N123" s="75">
        <f t="shared" si="23"/>
        <v>2631.5935997254796</v>
      </c>
      <c r="O123" s="75">
        <f t="shared" si="16"/>
        <v>276109.83327636257</v>
      </c>
      <c r="T123" s="67"/>
    </row>
    <row r="124" spans="1:20" outlineLevel="1" x14ac:dyDescent="0.25">
      <c r="A124" s="71">
        <v>118</v>
      </c>
      <c r="B124" s="75">
        <f t="shared" si="13"/>
        <v>4100.9182743504389</v>
      </c>
      <c r="C124" s="75">
        <f t="shared" si="12"/>
        <v>413.25313360431454</v>
      </c>
      <c r="D124" s="75">
        <f t="shared" si="17"/>
        <v>3687.6651407461241</v>
      </c>
      <c r="E124" s="75">
        <f t="shared" si="18"/>
        <v>388220.49260933266</v>
      </c>
      <c r="G124" s="75">
        <f t="shared" si="14"/>
        <v>3836.1701864816555</v>
      </c>
      <c r="H124" s="75">
        <f t="shared" si="15"/>
        <v>1160.4444444444443</v>
      </c>
      <c r="I124" s="75">
        <f t="shared" si="19"/>
        <v>2675.7257420372111</v>
      </c>
      <c r="J124" s="75">
        <f t="shared" si="20"/>
        <v>280827.55555555632</v>
      </c>
      <c r="K124" s="71"/>
      <c r="L124" s="75">
        <f t="shared" si="21"/>
        <v>3858.7849447265917</v>
      </c>
      <c r="M124" s="75">
        <f t="shared" si="22"/>
        <v>1238.8359095649398</v>
      </c>
      <c r="N124" s="75">
        <f t="shared" si="23"/>
        <v>2619.9490351616519</v>
      </c>
      <c r="O124" s="75">
        <f t="shared" si="16"/>
        <v>274870.99736679764</v>
      </c>
      <c r="T124" s="67"/>
    </row>
    <row r="125" spans="1:20" outlineLevel="1" x14ac:dyDescent="0.25">
      <c r="A125" s="71">
        <v>119</v>
      </c>
      <c r="B125" s="75">
        <f t="shared" si="13"/>
        <v>4100.9182743504389</v>
      </c>
      <c r="C125" s="75">
        <f t="shared" si="12"/>
        <v>417.17440701865343</v>
      </c>
      <c r="D125" s="75">
        <f t="shared" si="17"/>
        <v>3683.7438673317852</v>
      </c>
      <c r="E125" s="75">
        <f t="shared" si="18"/>
        <v>387803.31820231403</v>
      </c>
      <c r="G125" s="75">
        <f t="shared" si="14"/>
        <v>3825.1589694362351</v>
      </c>
      <c r="H125" s="75">
        <f t="shared" si="15"/>
        <v>1160.4444444444443</v>
      </c>
      <c r="I125" s="75">
        <f t="shared" si="19"/>
        <v>2664.7145249917908</v>
      </c>
      <c r="J125" s="75">
        <f t="shared" si="20"/>
        <v>279667.11111111188</v>
      </c>
      <c r="K125" s="71"/>
      <c r="L125" s="75">
        <f t="shared" si="21"/>
        <v>3858.7849447265917</v>
      </c>
      <c r="M125" s="75">
        <f t="shared" si="22"/>
        <v>1250.5909669907273</v>
      </c>
      <c r="N125" s="75">
        <f t="shared" si="23"/>
        <v>2608.1939777358643</v>
      </c>
      <c r="O125" s="75">
        <f t="shared" si="16"/>
        <v>273620.4063998069</v>
      </c>
      <c r="T125" s="67"/>
    </row>
    <row r="126" spans="1:20" s="61" customFormat="1" x14ac:dyDescent="0.25">
      <c r="A126" s="69">
        <v>120</v>
      </c>
      <c r="B126" s="73">
        <f t="shared" si="13"/>
        <v>4100.9182743504389</v>
      </c>
      <c r="C126" s="73">
        <f t="shared" si="12"/>
        <v>421.13288858446089</v>
      </c>
      <c r="D126" s="73">
        <f t="shared" si="17"/>
        <v>3679.7853857659779</v>
      </c>
      <c r="E126" s="73">
        <f t="shared" si="18"/>
        <v>387382.18531372957</v>
      </c>
      <c r="F126" s="64"/>
      <c r="G126" s="73">
        <f t="shared" si="14"/>
        <v>3814.1477523908143</v>
      </c>
      <c r="H126" s="73">
        <f t="shared" si="15"/>
        <v>1160.4444444444443</v>
      </c>
      <c r="I126" s="73">
        <f t="shared" si="19"/>
        <v>2653.7033079463699</v>
      </c>
      <c r="J126" s="73">
        <f t="shared" si="20"/>
        <v>278506.66666666744</v>
      </c>
      <c r="K126" s="69"/>
      <c r="L126" s="73">
        <f t="shared" si="21"/>
        <v>3858.7849447265917</v>
      </c>
      <c r="M126" s="73">
        <f t="shared" si="22"/>
        <v>1262.4575657223622</v>
      </c>
      <c r="N126" s="73">
        <f t="shared" si="23"/>
        <v>2596.3273790042294</v>
      </c>
      <c r="O126" s="73">
        <f t="shared" si="16"/>
        <v>272357.94883408456</v>
      </c>
      <c r="T126" s="74"/>
    </row>
    <row r="127" spans="1:20" s="61" customFormat="1" outlineLevel="1" x14ac:dyDescent="0.25">
      <c r="A127" s="71">
        <v>121</v>
      </c>
      <c r="B127" s="75">
        <f t="shared" ref="B127:B186" si="24">+D127+C127</f>
        <v>4100.9182743504389</v>
      </c>
      <c r="C127" s="75">
        <f t="shared" si="12"/>
        <v>425.12893136218167</v>
      </c>
      <c r="D127" s="75">
        <f t="shared" ref="D127:D186" si="25">+E126*$C$2</f>
        <v>3675.7893429882574</v>
      </c>
      <c r="E127" s="75">
        <f t="shared" ref="E127:E186" si="26">+E126-C127</f>
        <v>386957.05638236739</v>
      </c>
      <c r="F127" s="64"/>
      <c r="G127" s="75">
        <f t="shared" ref="G127:G186" si="27">+I127+H127</f>
        <v>3803.1365353453939</v>
      </c>
      <c r="H127" s="75">
        <f t="shared" si="15"/>
        <v>1160.4444444444443</v>
      </c>
      <c r="I127" s="75">
        <f t="shared" ref="I127:I186" si="28">+J126*$C$2</f>
        <v>2642.6920909009496</v>
      </c>
      <c r="J127" s="75">
        <f t="shared" ref="J127:J186" si="29">+J126-H127</f>
        <v>277346.222222223</v>
      </c>
      <c r="K127" s="69"/>
      <c r="L127" s="75">
        <f>+M127+N127</f>
        <v>3719.1729673830778</v>
      </c>
      <c r="M127" s="75">
        <f>IF(O126&lt;0,0,+O126/($C$3-A126))</f>
        <v>1134.8247868086858</v>
      </c>
      <c r="N127" s="75">
        <f t="shared" si="23"/>
        <v>2584.3481805743922</v>
      </c>
      <c r="O127" s="75">
        <f t="shared" si="16"/>
        <v>271223.12404727587</v>
      </c>
      <c r="T127" s="74"/>
    </row>
    <row r="128" spans="1:20" s="61" customFormat="1" outlineLevel="1" x14ac:dyDescent="0.25">
      <c r="A128" s="71">
        <v>122</v>
      </c>
      <c r="B128" s="75">
        <f t="shared" si="24"/>
        <v>4100.9182743504389</v>
      </c>
      <c r="C128" s="75">
        <f t="shared" si="12"/>
        <v>429.16289176237819</v>
      </c>
      <c r="D128" s="75">
        <f t="shared" si="25"/>
        <v>3671.7553825880609</v>
      </c>
      <c r="E128" s="75">
        <f t="shared" si="26"/>
        <v>386527.893490605</v>
      </c>
      <c r="F128" s="64"/>
      <c r="G128" s="75">
        <f t="shared" si="27"/>
        <v>3792.1253182999735</v>
      </c>
      <c r="H128" s="75">
        <f t="shared" si="15"/>
        <v>1160.4444444444443</v>
      </c>
      <c r="I128" s="75">
        <f t="shared" si="28"/>
        <v>2631.6808738555292</v>
      </c>
      <c r="J128" s="75">
        <f t="shared" si="29"/>
        <v>276185.77777777857</v>
      </c>
      <c r="K128" s="69"/>
      <c r="L128" s="75">
        <f t="shared" si="21"/>
        <v>3719.1729673830778</v>
      </c>
      <c r="M128" s="75">
        <f t="shared" si="22"/>
        <v>1145.5929042277457</v>
      </c>
      <c r="N128" s="75">
        <f t="shared" si="23"/>
        <v>2573.580063155332</v>
      </c>
      <c r="O128" s="75">
        <f t="shared" si="16"/>
        <v>270077.53114304814</v>
      </c>
      <c r="T128" s="74"/>
    </row>
    <row r="129" spans="1:20" s="61" customFormat="1" outlineLevel="1" x14ac:dyDescent="0.25">
      <c r="A129" s="71">
        <v>123</v>
      </c>
      <c r="B129" s="75">
        <f t="shared" si="24"/>
        <v>4100.9182743504389</v>
      </c>
      <c r="C129" s="75">
        <f t="shared" si="12"/>
        <v>433.23512957751819</v>
      </c>
      <c r="D129" s="75">
        <f t="shared" si="25"/>
        <v>3667.6831447729205</v>
      </c>
      <c r="E129" s="75">
        <f t="shared" si="26"/>
        <v>386094.65836102748</v>
      </c>
      <c r="F129" s="64"/>
      <c r="G129" s="75">
        <f t="shared" si="27"/>
        <v>3781.1141012545527</v>
      </c>
      <c r="H129" s="75">
        <f t="shared" si="15"/>
        <v>1160.4444444444443</v>
      </c>
      <c r="I129" s="75">
        <f t="shared" si="28"/>
        <v>2620.6696568101083</v>
      </c>
      <c r="J129" s="75">
        <f t="shared" si="29"/>
        <v>275025.33333333413</v>
      </c>
      <c r="K129" s="69"/>
      <c r="L129" s="75">
        <f t="shared" si="21"/>
        <v>3719.1729673830778</v>
      </c>
      <c r="M129" s="75">
        <f t="shared" si="22"/>
        <v>1156.4631980832901</v>
      </c>
      <c r="N129" s="75">
        <f t="shared" si="23"/>
        <v>2562.7097692997877</v>
      </c>
      <c r="O129" s="75">
        <f t="shared" si="16"/>
        <v>268921.06794496486</v>
      </c>
      <c r="T129" s="74"/>
    </row>
    <row r="130" spans="1:20" s="61" customFormat="1" outlineLevel="1" x14ac:dyDescent="0.25">
      <c r="A130" s="71">
        <v>124</v>
      </c>
      <c r="B130" s="75">
        <f t="shared" si="24"/>
        <v>4100.9182743504389</v>
      </c>
      <c r="C130" s="75">
        <f t="shared" si="12"/>
        <v>437.34600801406646</v>
      </c>
      <c r="D130" s="75">
        <f t="shared" si="25"/>
        <v>3663.5722663363726</v>
      </c>
      <c r="E130" s="75">
        <f t="shared" si="26"/>
        <v>385657.31235301343</v>
      </c>
      <c r="F130" s="64"/>
      <c r="G130" s="75">
        <f t="shared" si="27"/>
        <v>3770.1028842091323</v>
      </c>
      <c r="H130" s="75">
        <f t="shared" si="15"/>
        <v>1160.4444444444443</v>
      </c>
      <c r="I130" s="75">
        <f t="shared" si="28"/>
        <v>2609.658439764688</v>
      </c>
      <c r="J130" s="75">
        <f t="shared" si="29"/>
        <v>273864.88888888969</v>
      </c>
      <c r="K130" s="69"/>
      <c r="L130" s="75">
        <f t="shared" si="21"/>
        <v>3719.1729673830778</v>
      </c>
      <c r="M130" s="75">
        <f t="shared" si="22"/>
        <v>1167.4366379063681</v>
      </c>
      <c r="N130" s="75">
        <f t="shared" si="23"/>
        <v>2551.7363294767097</v>
      </c>
      <c r="O130" s="75">
        <f t="shared" si="16"/>
        <v>267753.6313070585</v>
      </c>
      <c r="T130" s="74"/>
    </row>
    <row r="131" spans="1:20" s="61" customFormat="1" outlineLevel="1" x14ac:dyDescent="0.25">
      <c r="A131" s="71">
        <v>125</v>
      </c>
      <c r="B131" s="75">
        <f t="shared" si="24"/>
        <v>4100.9182743504389</v>
      </c>
      <c r="C131" s="75">
        <f t="shared" si="12"/>
        <v>441.49589372487839</v>
      </c>
      <c r="D131" s="75">
        <f t="shared" si="25"/>
        <v>3659.4223806255604</v>
      </c>
      <c r="E131" s="75">
        <f t="shared" si="26"/>
        <v>385215.81645928853</v>
      </c>
      <c r="F131" s="64"/>
      <c r="G131" s="75">
        <f t="shared" si="27"/>
        <v>3759.0916671637119</v>
      </c>
      <c r="H131" s="75">
        <f t="shared" si="15"/>
        <v>1160.4444444444443</v>
      </c>
      <c r="I131" s="75">
        <f t="shared" si="28"/>
        <v>2598.6472227192676</v>
      </c>
      <c r="J131" s="75">
        <f t="shared" si="29"/>
        <v>272704.44444444525</v>
      </c>
      <c r="K131" s="69"/>
      <c r="L131" s="75">
        <f t="shared" si="21"/>
        <v>3719.1729673830778</v>
      </c>
      <c r="M131" s="75">
        <f t="shared" si="22"/>
        <v>1178.5142024277075</v>
      </c>
      <c r="N131" s="75">
        <f t="shared" si="23"/>
        <v>2540.6587649553703</v>
      </c>
      <c r="O131" s="75">
        <f t="shared" si="16"/>
        <v>266575.1171046308</v>
      </c>
      <c r="T131" s="74"/>
    </row>
    <row r="132" spans="1:20" s="61" customFormat="1" outlineLevel="1" x14ac:dyDescent="0.25">
      <c r="A132" s="71">
        <v>126</v>
      </c>
      <c r="B132" s="75">
        <f t="shared" si="24"/>
        <v>4100.9182743504389</v>
      </c>
      <c r="C132" s="75">
        <f t="shared" si="12"/>
        <v>445.68515684190243</v>
      </c>
      <c r="D132" s="75">
        <f t="shared" si="25"/>
        <v>3655.2331175085365</v>
      </c>
      <c r="E132" s="75">
        <f t="shared" si="26"/>
        <v>384770.13130244665</v>
      </c>
      <c r="F132" s="64"/>
      <c r="G132" s="75">
        <f t="shared" si="27"/>
        <v>3748.0804501182911</v>
      </c>
      <c r="H132" s="75">
        <f t="shared" si="15"/>
        <v>1160.4444444444443</v>
      </c>
      <c r="I132" s="75">
        <f t="shared" si="28"/>
        <v>2587.6360056738467</v>
      </c>
      <c r="J132" s="75">
        <f t="shared" si="29"/>
        <v>271544.00000000081</v>
      </c>
      <c r="K132" s="69"/>
      <c r="L132" s="75">
        <f t="shared" si="21"/>
        <v>3719.1729673830778</v>
      </c>
      <c r="M132" s="75">
        <f t="shared" si="22"/>
        <v>1189.696879665009</v>
      </c>
      <c r="N132" s="75">
        <f t="shared" si="23"/>
        <v>2529.4760877180688</v>
      </c>
      <c r="O132" s="75">
        <f t="shared" si="16"/>
        <v>265385.42022496578</v>
      </c>
      <c r="T132" s="74"/>
    </row>
    <row r="133" spans="1:20" s="61" customFormat="1" outlineLevel="1" x14ac:dyDescent="0.25">
      <c r="A133" s="71">
        <v>127</v>
      </c>
      <c r="B133" s="75">
        <f t="shared" si="24"/>
        <v>4100.9182743504389</v>
      </c>
      <c r="C133" s="75">
        <f t="shared" si="12"/>
        <v>449.91417100919244</v>
      </c>
      <c r="D133" s="75">
        <f t="shared" si="25"/>
        <v>3651.0041033412467</v>
      </c>
      <c r="E133" s="75">
        <f t="shared" si="26"/>
        <v>384320.21713143744</v>
      </c>
      <c r="F133" s="64"/>
      <c r="G133" s="75">
        <f t="shared" si="27"/>
        <v>3737.0692330728707</v>
      </c>
      <c r="H133" s="75">
        <f t="shared" si="15"/>
        <v>1160.4444444444443</v>
      </c>
      <c r="I133" s="75">
        <f t="shared" si="28"/>
        <v>2576.6247886284264</v>
      </c>
      <c r="J133" s="75">
        <f t="shared" si="29"/>
        <v>270383.55555555638</v>
      </c>
      <c r="K133" s="69"/>
      <c r="L133" s="75">
        <f t="shared" si="21"/>
        <v>3719.1729673830778</v>
      </c>
      <c r="M133" s="75">
        <f t="shared" si="22"/>
        <v>1200.9856670110698</v>
      </c>
      <c r="N133" s="75">
        <f t="shared" si="23"/>
        <v>2518.1873003720079</v>
      </c>
      <c r="O133" s="75">
        <f t="shared" si="16"/>
        <v>264184.43455795472</v>
      </c>
      <c r="T133" s="74"/>
    </row>
    <row r="134" spans="1:20" s="61" customFormat="1" outlineLevel="1" x14ac:dyDescent="0.25">
      <c r="A134" s="71">
        <v>128</v>
      </c>
      <c r="B134" s="75">
        <f t="shared" si="24"/>
        <v>4100.9182743504389</v>
      </c>
      <c r="C134" s="75">
        <f t="shared" si="12"/>
        <v>454.1833134162332</v>
      </c>
      <c r="D134" s="75">
        <f t="shared" si="25"/>
        <v>3646.7349609342054</v>
      </c>
      <c r="E134" s="75">
        <f t="shared" si="26"/>
        <v>383866.03381802118</v>
      </c>
      <c r="F134" s="64"/>
      <c r="G134" s="75">
        <f t="shared" si="27"/>
        <v>3726.0580160274503</v>
      </c>
      <c r="H134" s="75">
        <f t="shared" si="15"/>
        <v>1160.4444444444443</v>
      </c>
      <c r="I134" s="75">
        <f t="shared" si="28"/>
        <v>2565.613571583006</v>
      </c>
      <c r="J134" s="75">
        <f t="shared" si="29"/>
        <v>269223.11111111194</v>
      </c>
      <c r="K134" s="69"/>
      <c r="L134" s="75">
        <f t="shared" si="21"/>
        <v>3719.1729673830778</v>
      </c>
      <c r="M134" s="75">
        <f t="shared" si="22"/>
        <v>1212.38157132274</v>
      </c>
      <c r="N134" s="75">
        <f t="shared" si="23"/>
        <v>2506.7913960603378</v>
      </c>
      <c r="O134" s="75">
        <f t="shared" si="16"/>
        <v>262972.05298663198</v>
      </c>
      <c r="T134" s="74"/>
    </row>
    <row r="135" spans="1:20" s="61" customFormat="1" outlineLevel="1" x14ac:dyDescent="0.25">
      <c r="A135" s="71">
        <v>129</v>
      </c>
      <c r="B135" s="75">
        <f t="shared" si="24"/>
        <v>4100.9182743504389</v>
      </c>
      <c r="C135" s="75">
        <f t="shared" ref="C135:C186" si="30">IF(A135&gt;$C$3,0,PPMT($C$2,A135,$C$3,-$F$1))</f>
        <v>458.49296483158287</v>
      </c>
      <c r="D135" s="75">
        <f t="shared" si="25"/>
        <v>3642.425309518856</v>
      </c>
      <c r="E135" s="75">
        <f t="shared" si="26"/>
        <v>383407.5408531896</v>
      </c>
      <c r="F135" s="64"/>
      <c r="G135" s="75">
        <f t="shared" si="27"/>
        <v>3715.0467989820295</v>
      </c>
      <c r="H135" s="75">
        <f t="shared" si="15"/>
        <v>1160.4444444444443</v>
      </c>
      <c r="I135" s="75">
        <f t="shared" si="28"/>
        <v>2554.6023545375851</v>
      </c>
      <c r="J135" s="75">
        <f t="shared" si="29"/>
        <v>268062.6666666675</v>
      </c>
      <c r="K135" s="69"/>
      <c r="L135" s="75">
        <f t="shared" si="21"/>
        <v>3719.1729673830778</v>
      </c>
      <c r="M135" s="75">
        <f t="shared" si="22"/>
        <v>1223.8856090107261</v>
      </c>
      <c r="N135" s="75">
        <f t="shared" si="23"/>
        <v>2495.2873583723517</v>
      </c>
      <c r="O135" s="75">
        <f t="shared" si="16"/>
        <v>261748.16737762126</v>
      </c>
      <c r="T135" s="74"/>
    </row>
    <row r="136" spans="1:20" s="61" customFormat="1" outlineLevel="1" x14ac:dyDescent="0.25">
      <c r="A136" s="71">
        <v>130</v>
      </c>
      <c r="B136" s="75">
        <f t="shared" si="24"/>
        <v>4100.9182743504389</v>
      </c>
      <c r="C136" s="75">
        <f t="shared" si="30"/>
        <v>462.84350963683278</v>
      </c>
      <c r="D136" s="75">
        <f t="shared" si="25"/>
        <v>3638.0747647136059</v>
      </c>
      <c r="E136" s="75">
        <f t="shared" si="26"/>
        <v>382944.69734355278</v>
      </c>
      <c r="F136" s="64"/>
      <c r="G136" s="75">
        <f t="shared" si="27"/>
        <v>3704.0355819366091</v>
      </c>
      <c r="H136" s="75">
        <f t="shared" ref="H136:H199" si="31">IF(A136&gt;$C$3,0,+$F$2/$C$3)</f>
        <v>1160.4444444444443</v>
      </c>
      <c r="I136" s="75">
        <f t="shared" si="28"/>
        <v>2543.5911374921648</v>
      </c>
      <c r="J136" s="75">
        <f t="shared" si="29"/>
        <v>266902.22222222306</v>
      </c>
      <c r="K136" s="69"/>
      <c r="L136" s="75">
        <f t="shared" si="21"/>
        <v>3719.1729673830778</v>
      </c>
      <c r="M136" s="75">
        <f t="shared" si="22"/>
        <v>1235.4988061302447</v>
      </c>
      <c r="N136" s="75">
        <f t="shared" si="23"/>
        <v>2483.6741612528331</v>
      </c>
      <c r="O136" s="75">
        <f t="shared" ref="O136:O186" si="32">IF(A136&gt;$C$3,0,+O135-M136)</f>
        <v>260512.668571491</v>
      </c>
      <c r="T136" s="74"/>
    </row>
    <row r="137" spans="1:20" s="61" customFormat="1" outlineLevel="1" x14ac:dyDescent="0.25">
      <c r="A137" s="71">
        <v>131</v>
      </c>
      <c r="B137" s="75">
        <f t="shared" si="24"/>
        <v>4100.9182743504389</v>
      </c>
      <c r="C137" s="75">
        <f t="shared" si="30"/>
        <v>467.23533586089235</v>
      </c>
      <c r="D137" s="75">
        <f t="shared" si="25"/>
        <v>3633.6829384895464</v>
      </c>
      <c r="E137" s="75">
        <f t="shared" si="26"/>
        <v>382477.46200769191</v>
      </c>
      <c r="F137" s="64"/>
      <c r="G137" s="75">
        <f t="shared" si="27"/>
        <v>3693.0243648911887</v>
      </c>
      <c r="H137" s="75">
        <f t="shared" si="31"/>
        <v>1160.4444444444443</v>
      </c>
      <c r="I137" s="75">
        <f t="shared" si="28"/>
        <v>2532.5799204467444</v>
      </c>
      <c r="J137" s="75">
        <f t="shared" si="29"/>
        <v>265741.77777777863</v>
      </c>
      <c r="K137" s="69"/>
      <c r="L137" s="75">
        <f t="shared" ref="L137:L200" si="33">+L136</f>
        <v>3719.1729673830778</v>
      </c>
      <c r="M137" s="75">
        <f t="shared" ref="M137:M200" si="34">+L137-N137</f>
        <v>1247.2221984725393</v>
      </c>
      <c r="N137" s="75">
        <f t="shared" ref="N137:N200" si="35">IF(A137&gt;$C$3,0,+O136*($C$2))</f>
        <v>2471.9507689105385</v>
      </c>
      <c r="O137" s="75">
        <f t="shared" si="32"/>
        <v>259265.44637301847</v>
      </c>
      <c r="T137" s="74"/>
    </row>
    <row r="138" spans="1:20" s="61" customFormat="1" x14ac:dyDescent="0.25">
      <c r="A138" s="69">
        <v>132</v>
      </c>
      <c r="B138" s="73">
        <f t="shared" si="24"/>
        <v>4100.9182743504389</v>
      </c>
      <c r="C138" s="73">
        <f t="shared" si="30"/>
        <v>471.66883521459664</v>
      </c>
      <c r="D138" s="73">
        <f t="shared" si="25"/>
        <v>3629.2494391358423</v>
      </c>
      <c r="E138" s="73">
        <f t="shared" si="26"/>
        <v>382005.79317247734</v>
      </c>
      <c r="F138" s="64"/>
      <c r="G138" s="73">
        <f t="shared" si="27"/>
        <v>3682.0131478457679</v>
      </c>
      <c r="H138" s="73">
        <f t="shared" si="31"/>
        <v>1160.4444444444443</v>
      </c>
      <c r="I138" s="73">
        <f t="shared" si="28"/>
        <v>2521.5687034013235</v>
      </c>
      <c r="J138" s="73">
        <f t="shared" si="29"/>
        <v>264581.33333333419</v>
      </c>
      <c r="K138" s="69"/>
      <c r="L138" s="73">
        <f t="shared" si="33"/>
        <v>3719.1729673830778</v>
      </c>
      <c r="M138" s="73">
        <f t="shared" si="34"/>
        <v>1259.0568316572608</v>
      </c>
      <c r="N138" s="73">
        <f t="shared" si="35"/>
        <v>2460.116135725817</v>
      </c>
      <c r="O138" s="73">
        <f t="shared" si="32"/>
        <v>258006.38954136119</v>
      </c>
      <c r="T138" s="74"/>
    </row>
    <row r="139" spans="1:20" s="61" customFormat="1" outlineLevel="1" x14ac:dyDescent="0.25">
      <c r="A139" s="71">
        <v>133</v>
      </c>
      <c r="B139" s="75">
        <f t="shared" si="24"/>
        <v>4100.9182743504389</v>
      </c>
      <c r="C139" s="75">
        <f t="shared" si="30"/>
        <v>476.14440312564392</v>
      </c>
      <c r="D139" s="75">
        <f t="shared" si="25"/>
        <v>3624.7738712247951</v>
      </c>
      <c r="E139" s="75">
        <f t="shared" si="26"/>
        <v>381529.64876935171</v>
      </c>
      <c r="F139" s="64"/>
      <c r="G139" s="75">
        <f t="shared" si="27"/>
        <v>3671.0019308003475</v>
      </c>
      <c r="H139" s="75">
        <f t="shared" si="31"/>
        <v>1160.4444444444443</v>
      </c>
      <c r="I139" s="75">
        <f t="shared" si="28"/>
        <v>2510.5574863559032</v>
      </c>
      <c r="J139" s="75">
        <f t="shared" si="29"/>
        <v>263420.88888888975</v>
      </c>
      <c r="K139" s="69"/>
      <c r="L139" s="75">
        <f>+M139+N139</f>
        <v>3579.7761778299855</v>
      </c>
      <c r="M139" s="75">
        <f>IF(O138&lt;0,0,+O138/($C$3-A138))</f>
        <v>1131.6069716726367</v>
      </c>
      <c r="N139" s="75">
        <f t="shared" si="35"/>
        <v>2448.169206157349</v>
      </c>
      <c r="O139" s="75">
        <f t="shared" si="32"/>
        <v>256874.78256968854</v>
      </c>
      <c r="T139" s="74"/>
    </row>
    <row r="140" spans="1:20" s="61" customFormat="1" outlineLevel="1" x14ac:dyDescent="0.25">
      <c r="A140" s="71">
        <v>134</v>
      </c>
      <c r="B140" s="75">
        <f t="shared" si="24"/>
        <v>4100.9182743504389</v>
      </c>
      <c r="C140" s="75">
        <f t="shared" si="30"/>
        <v>480.66243877386376</v>
      </c>
      <c r="D140" s="75">
        <f t="shared" si="25"/>
        <v>3620.2558355765755</v>
      </c>
      <c r="E140" s="75">
        <f t="shared" si="26"/>
        <v>381048.98633057787</v>
      </c>
      <c r="F140" s="64"/>
      <c r="G140" s="75">
        <f t="shared" si="27"/>
        <v>3659.9907137549271</v>
      </c>
      <c r="H140" s="75">
        <f t="shared" si="31"/>
        <v>1160.4444444444443</v>
      </c>
      <c r="I140" s="75">
        <f t="shared" si="28"/>
        <v>2499.5462693104828</v>
      </c>
      <c r="J140" s="75">
        <f t="shared" si="29"/>
        <v>262260.44444444531</v>
      </c>
      <c r="K140" s="69"/>
      <c r="L140" s="75">
        <f t="shared" si="33"/>
        <v>3579.7761778299855</v>
      </c>
      <c r="M140" s="75">
        <f t="shared" si="34"/>
        <v>1142.3445559101688</v>
      </c>
      <c r="N140" s="75">
        <f t="shared" si="35"/>
        <v>2437.4316219198167</v>
      </c>
      <c r="O140" s="75">
        <f t="shared" si="32"/>
        <v>255732.43801377836</v>
      </c>
      <c r="T140" s="74"/>
    </row>
    <row r="141" spans="1:20" s="61" customFormat="1" outlineLevel="1" x14ac:dyDescent="0.25">
      <c r="A141" s="71">
        <v>135</v>
      </c>
      <c r="B141" s="75">
        <f t="shared" si="24"/>
        <v>4100.9182743504398</v>
      </c>
      <c r="C141" s="75">
        <f t="shared" si="30"/>
        <v>485.22334512682062</v>
      </c>
      <c r="D141" s="75">
        <f t="shared" si="25"/>
        <v>3615.6949292236191</v>
      </c>
      <c r="E141" s="75">
        <f t="shared" si="26"/>
        <v>380563.76298545103</v>
      </c>
      <c r="F141" s="64"/>
      <c r="G141" s="75">
        <f t="shared" si="27"/>
        <v>3648.9794967095063</v>
      </c>
      <c r="H141" s="75">
        <f t="shared" si="31"/>
        <v>1160.4444444444443</v>
      </c>
      <c r="I141" s="75">
        <f t="shared" si="28"/>
        <v>2488.5350522650619</v>
      </c>
      <c r="J141" s="75">
        <f t="shared" si="29"/>
        <v>261100.00000000087</v>
      </c>
      <c r="K141" s="69"/>
      <c r="L141" s="75">
        <f t="shared" si="33"/>
        <v>3579.7761778299855</v>
      </c>
      <c r="M141" s="75">
        <f t="shared" si="34"/>
        <v>1153.1840268611486</v>
      </c>
      <c r="N141" s="75">
        <f t="shared" si="35"/>
        <v>2426.5921509688369</v>
      </c>
      <c r="O141" s="75">
        <f t="shared" si="32"/>
        <v>254579.2539869172</v>
      </c>
      <c r="T141" s="74"/>
    </row>
    <row r="142" spans="1:20" s="61" customFormat="1" outlineLevel="1" x14ac:dyDescent="0.25">
      <c r="A142" s="71">
        <v>136</v>
      </c>
      <c r="B142" s="75">
        <f t="shared" si="24"/>
        <v>4100.9182743504398</v>
      </c>
      <c r="C142" s="75">
        <f t="shared" si="30"/>
        <v>489.82752897575494</v>
      </c>
      <c r="D142" s="75">
        <f t="shared" si="25"/>
        <v>3611.0907453746845</v>
      </c>
      <c r="E142" s="75">
        <f t="shared" si="26"/>
        <v>380073.9354564753</v>
      </c>
      <c r="F142" s="64"/>
      <c r="G142" s="75">
        <f t="shared" si="27"/>
        <v>3637.9682796640859</v>
      </c>
      <c r="H142" s="75">
        <f t="shared" si="31"/>
        <v>1160.4444444444443</v>
      </c>
      <c r="I142" s="75">
        <f t="shared" si="28"/>
        <v>2477.5238352196416</v>
      </c>
      <c r="J142" s="75">
        <f t="shared" si="29"/>
        <v>259939.55555555644</v>
      </c>
      <c r="K142" s="69"/>
      <c r="L142" s="75">
        <f t="shared" si="33"/>
        <v>3579.7761778299855</v>
      </c>
      <c r="M142" s="75">
        <f t="shared" si="34"/>
        <v>1164.1263513075028</v>
      </c>
      <c r="N142" s="75">
        <f t="shared" si="35"/>
        <v>2415.6498265224827</v>
      </c>
      <c r="O142" s="75">
        <f t="shared" si="32"/>
        <v>253415.12763560971</v>
      </c>
      <c r="T142" s="74"/>
    </row>
    <row r="143" spans="1:20" s="61" customFormat="1" outlineLevel="1" x14ac:dyDescent="0.25">
      <c r="A143" s="71">
        <v>137</v>
      </c>
      <c r="B143" s="75">
        <f t="shared" si="24"/>
        <v>4100.9182743504398</v>
      </c>
      <c r="C143" s="75">
        <f t="shared" si="30"/>
        <v>494.4754009718643</v>
      </c>
      <c r="D143" s="75">
        <f t="shared" si="25"/>
        <v>3606.4428733785753</v>
      </c>
      <c r="E143" s="75">
        <f t="shared" si="26"/>
        <v>379579.46005550341</v>
      </c>
      <c r="F143" s="64"/>
      <c r="G143" s="75">
        <f t="shared" si="27"/>
        <v>3626.9570626186655</v>
      </c>
      <c r="H143" s="75">
        <f t="shared" si="31"/>
        <v>1160.4444444444443</v>
      </c>
      <c r="I143" s="75">
        <f t="shared" si="28"/>
        <v>2466.5126181742212</v>
      </c>
      <c r="J143" s="75">
        <f t="shared" si="29"/>
        <v>258779.111111112</v>
      </c>
      <c r="K143" s="69"/>
      <c r="L143" s="75">
        <f t="shared" si="33"/>
        <v>3579.7761778299855</v>
      </c>
      <c r="M143" s="75">
        <f t="shared" si="34"/>
        <v>1175.1725052047514</v>
      </c>
      <c r="N143" s="75">
        <f t="shared" si="35"/>
        <v>2404.6036726252341</v>
      </c>
      <c r="O143" s="75">
        <f t="shared" si="32"/>
        <v>252239.95513040497</v>
      </c>
      <c r="T143" s="74"/>
    </row>
    <row r="144" spans="1:20" s="61" customFormat="1" outlineLevel="1" x14ac:dyDescent="0.25">
      <c r="A144" s="71">
        <v>138</v>
      </c>
      <c r="B144" s="75">
        <f t="shared" si="24"/>
        <v>4100.9182743504398</v>
      </c>
      <c r="C144" s="75">
        <f t="shared" si="30"/>
        <v>499.16737566293125</v>
      </c>
      <c r="D144" s="75">
        <f t="shared" si="25"/>
        <v>3601.7508986875082</v>
      </c>
      <c r="E144" s="75">
        <f t="shared" si="26"/>
        <v>379080.29267984047</v>
      </c>
      <c r="F144" s="64"/>
      <c r="G144" s="75">
        <f t="shared" si="27"/>
        <v>3615.9458455732447</v>
      </c>
      <c r="H144" s="75">
        <f t="shared" si="31"/>
        <v>1160.4444444444443</v>
      </c>
      <c r="I144" s="75">
        <f t="shared" si="28"/>
        <v>2455.5014011288004</v>
      </c>
      <c r="J144" s="75">
        <f t="shared" si="29"/>
        <v>257618.66666666756</v>
      </c>
      <c r="K144" s="69"/>
      <c r="L144" s="75">
        <f t="shared" si="33"/>
        <v>3579.7761778299855</v>
      </c>
      <c r="M144" s="75">
        <f t="shared" si="34"/>
        <v>1186.3234737690545</v>
      </c>
      <c r="N144" s="75">
        <f t="shared" si="35"/>
        <v>2393.452704060931</v>
      </c>
      <c r="O144" s="75">
        <f t="shared" si="32"/>
        <v>251053.6316566359</v>
      </c>
      <c r="T144" s="74"/>
    </row>
    <row r="145" spans="1:20" s="61" customFormat="1" outlineLevel="1" x14ac:dyDescent="0.25">
      <c r="A145" s="71">
        <v>139</v>
      </c>
      <c r="B145" s="75">
        <f t="shared" si="24"/>
        <v>4100.9182743504398</v>
      </c>
      <c r="C145" s="75">
        <f t="shared" si="30"/>
        <v>503.90387153029593</v>
      </c>
      <c r="D145" s="75">
        <f t="shared" si="25"/>
        <v>3597.0144028201435</v>
      </c>
      <c r="E145" s="75">
        <f t="shared" si="26"/>
        <v>378576.38880831015</v>
      </c>
      <c r="F145" s="64"/>
      <c r="G145" s="75">
        <f t="shared" si="27"/>
        <v>3604.9346285278243</v>
      </c>
      <c r="H145" s="75">
        <f t="shared" si="31"/>
        <v>1160.4444444444443</v>
      </c>
      <c r="I145" s="75">
        <f t="shared" si="28"/>
        <v>2444.49018408338</v>
      </c>
      <c r="J145" s="75">
        <f t="shared" si="29"/>
        <v>256458.22222222312</v>
      </c>
      <c r="K145" s="69"/>
      <c r="L145" s="75">
        <f t="shared" si="33"/>
        <v>3579.7761778299855</v>
      </c>
      <c r="M145" s="75">
        <f t="shared" si="34"/>
        <v>1197.5802515650844</v>
      </c>
      <c r="N145" s="75">
        <f t="shared" si="35"/>
        <v>2382.1959262649011</v>
      </c>
      <c r="O145" s="75">
        <f t="shared" si="32"/>
        <v>249856.05140507082</v>
      </c>
      <c r="T145" s="74"/>
    </row>
    <row r="146" spans="1:20" s="61" customFormat="1" outlineLevel="1" x14ac:dyDescent="0.25">
      <c r="A146" s="71">
        <v>140</v>
      </c>
      <c r="B146" s="75">
        <f t="shared" si="24"/>
        <v>4100.9182743504389</v>
      </c>
      <c r="C146" s="75">
        <f t="shared" si="30"/>
        <v>508.68531102618164</v>
      </c>
      <c r="D146" s="75">
        <f t="shared" si="25"/>
        <v>3592.2329633242575</v>
      </c>
      <c r="E146" s="75">
        <f t="shared" si="26"/>
        <v>378067.70349728398</v>
      </c>
      <c r="F146" s="64"/>
      <c r="G146" s="75">
        <f t="shared" si="27"/>
        <v>3593.9234114824039</v>
      </c>
      <c r="H146" s="75">
        <f t="shared" si="31"/>
        <v>1160.4444444444443</v>
      </c>
      <c r="I146" s="75">
        <f t="shared" si="28"/>
        <v>2433.4789670379596</v>
      </c>
      <c r="J146" s="75">
        <f t="shared" si="29"/>
        <v>255297.77777777868</v>
      </c>
      <c r="K146" s="69"/>
      <c r="L146" s="75">
        <f t="shared" si="33"/>
        <v>3579.7761778299855</v>
      </c>
      <c r="M146" s="75">
        <f t="shared" si="34"/>
        <v>1208.9438425947314</v>
      </c>
      <c r="N146" s="75">
        <f t="shared" si="35"/>
        <v>2370.832335235254</v>
      </c>
      <c r="O146" s="75">
        <f t="shared" si="32"/>
        <v>248647.10756247607</v>
      </c>
      <c r="T146" s="74"/>
    </row>
    <row r="147" spans="1:20" s="61" customFormat="1" outlineLevel="1" x14ac:dyDescent="0.25">
      <c r="A147" s="71">
        <v>141</v>
      </c>
      <c r="B147" s="75">
        <f t="shared" si="24"/>
        <v>4100.9182743504389</v>
      </c>
      <c r="C147" s="75">
        <f t="shared" si="30"/>
        <v>513.51212061137301</v>
      </c>
      <c r="D147" s="75">
        <f t="shared" si="25"/>
        <v>3587.4061537390662</v>
      </c>
      <c r="E147" s="75">
        <f t="shared" si="26"/>
        <v>377554.19137667259</v>
      </c>
      <c r="F147" s="64"/>
      <c r="G147" s="75">
        <f t="shared" si="27"/>
        <v>3582.9121944369831</v>
      </c>
      <c r="H147" s="75">
        <f t="shared" si="31"/>
        <v>1160.4444444444443</v>
      </c>
      <c r="I147" s="75">
        <f t="shared" si="28"/>
        <v>2422.4677499925388</v>
      </c>
      <c r="J147" s="75">
        <f t="shared" si="29"/>
        <v>254137.33333333425</v>
      </c>
      <c r="K147" s="69"/>
      <c r="L147" s="75">
        <f t="shared" si="33"/>
        <v>3579.7761778299855</v>
      </c>
      <c r="M147" s="75">
        <f t="shared" si="34"/>
        <v>1220.4152603866519</v>
      </c>
      <c r="N147" s="75">
        <f t="shared" si="35"/>
        <v>2359.3609174433336</v>
      </c>
      <c r="O147" s="75">
        <f t="shared" si="32"/>
        <v>247426.69230208942</v>
      </c>
      <c r="T147" s="74"/>
    </row>
    <row r="148" spans="1:20" s="61" customFormat="1" outlineLevel="1" x14ac:dyDescent="0.25">
      <c r="A148" s="71">
        <v>142</v>
      </c>
      <c r="B148" s="75">
        <f t="shared" si="24"/>
        <v>4100.9182743504389</v>
      </c>
      <c r="C148" s="75">
        <f t="shared" si="30"/>
        <v>518.38473079325308</v>
      </c>
      <c r="D148" s="75">
        <f t="shared" si="25"/>
        <v>3582.533543557186</v>
      </c>
      <c r="E148" s="75">
        <f t="shared" si="26"/>
        <v>377035.80664587935</v>
      </c>
      <c r="F148" s="64"/>
      <c r="G148" s="75">
        <f t="shared" si="27"/>
        <v>3571.9009773915627</v>
      </c>
      <c r="H148" s="75">
        <f t="shared" si="31"/>
        <v>1160.4444444444443</v>
      </c>
      <c r="I148" s="75">
        <f t="shared" si="28"/>
        <v>2411.4565329471184</v>
      </c>
      <c r="J148" s="75">
        <f t="shared" si="29"/>
        <v>252976.88888888981</v>
      </c>
      <c r="K148" s="69"/>
      <c r="L148" s="75">
        <f t="shared" si="33"/>
        <v>3579.7761778299855</v>
      </c>
      <c r="M148" s="75">
        <f t="shared" si="34"/>
        <v>1231.9955280866661</v>
      </c>
      <c r="N148" s="75">
        <f t="shared" si="35"/>
        <v>2347.7806497433194</v>
      </c>
      <c r="O148" s="75">
        <f t="shared" si="32"/>
        <v>246194.69677400275</v>
      </c>
      <c r="T148" s="74"/>
    </row>
    <row r="149" spans="1:20" s="61" customFormat="1" outlineLevel="1" x14ac:dyDescent="0.25">
      <c r="A149" s="71">
        <v>143</v>
      </c>
      <c r="B149" s="75">
        <f t="shared" si="24"/>
        <v>4100.9182743504389</v>
      </c>
      <c r="C149" s="75">
        <f t="shared" si="30"/>
        <v>523.30357616419997</v>
      </c>
      <c r="D149" s="75">
        <f t="shared" si="25"/>
        <v>3577.6146981862394</v>
      </c>
      <c r="E149" s="75">
        <f t="shared" si="26"/>
        <v>376512.50306971517</v>
      </c>
      <c r="F149" s="64"/>
      <c r="G149" s="75">
        <f t="shared" si="27"/>
        <v>3560.8897603461423</v>
      </c>
      <c r="H149" s="75">
        <f t="shared" si="31"/>
        <v>1160.4444444444443</v>
      </c>
      <c r="I149" s="75">
        <f t="shared" si="28"/>
        <v>2400.445315901698</v>
      </c>
      <c r="J149" s="75">
        <f t="shared" si="29"/>
        <v>251816.44444444537</v>
      </c>
      <c r="K149" s="69"/>
      <c r="L149" s="75">
        <f t="shared" si="33"/>
        <v>3579.7761778299855</v>
      </c>
      <c r="M149" s="75">
        <f t="shared" si="34"/>
        <v>1243.6856785490127</v>
      </c>
      <c r="N149" s="75">
        <f t="shared" si="35"/>
        <v>2336.0904992809728</v>
      </c>
      <c r="O149" s="75">
        <f t="shared" si="32"/>
        <v>244951.01109545372</v>
      </c>
      <c r="T149" s="74"/>
    </row>
    <row r="150" spans="1:20" s="61" customFormat="1" x14ac:dyDescent="0.25">
      <c r="A150" s="69">
        <v>144</v>
      </c>
      <c r="B150" s="73">
        <f t="shared" si="24"/>
        <v>4100.9182743504389</v>
      </c>
      <c r="C150" s="73">
        <f t="shared" si="30"/>
        <v>528.26909544034879</v>
      </c>
      <c r="D150" s="73">
        <f t="shared" si="25"/>
        <v>3572.6491789100905</v>
      </c>
      <c r="E150" s="73">
        <f t="shared" si="26"/>
        <v>375984.23397427483</v>
      </c>
      <c r="F150" s="64"/>
      <c r="G150" s="73">
        <f t="shared" si="27"/>
        <v>3549.8785433007215</v>
      </c>
      <c r="H150" s="73">
        <f t="shared" si="31"/>
        <v>1160.4444444444443</v>
      </c>
      <c r="I150" s="73">
        <f t="shared" si="28"/>
        <v>2389.4340988562772</v>
      </c>
      <c r="J150" s="73">
        <f t="shared" si="29"/>
        <v>250656.00000000093</v>
      </c>
      <c r="K150" s="69"/>
      <c r="L150" s="73">
        <f t="shared" si="33"/>
        <v>3579.7761778299855</v>
      </c>
      <c r="M150" s="73">
        <f t="shared" si="34"/>
        <v>1255.4867544284712</v>
      </c>
      <c r="N150" s="73">
        <f t="shared" si="35"/>
        <v>2324.2894234015143</v>
      </c>
      <c r="O150" s="73">
        <f t="shared" si="32"/>
        <v>243695.52434102524</v>
      </c>
      <c r="T150" s="74"/>
    </row>
    <row r="151" spans="1:20" s="61" customFormat="1" outlineLevel="1" x14ac:dyDescent="0.25">
      <c r="A151" s="71">
        <v>145</v>
      </c>
      <c r="B151" s="75">
        <f t="shared" si="24"/>
        <v>4100.9182743504398</v>
      </c>
      <c r="C151" s="75">
        <f t="shared" si="30"/>
        <v>533.28173150072178</v>
      </c>
      <c r="D151" s="75">
        <f t="shared" si="25"/>
        <v>3567.6365428497179</v>
      </c>
      <c r="E151" s="75">
        <f t="shared" si="26"/>
        <v>375450.95224277413</v>
      </c>
      <c r="F151" s="64"/>
      <c r="G151" s="75">
        <f t="shared" si="27"/>
        <v>3538.8673262553011</v>
      </c>
      <c r="H151" s="75">
        <f t="shared" si="31"/>
        <v>1160.4444444444443</v>
      </c>
      <c r="I151" s="75">
        <f t="shared" si="28"/>
        <v>2378.4228818108568</v>
      </c>
      <c r="J151" s="75">
        <f t="shared" si="29"/>
        <v>249495.55555555649</v>
      </c>
      <c r="K151" s="69"/>
      <c r="L151" s="75">
        <f>+M151+N151</f>
        <v>3440.5963896539697</v>
      </c>
      <c r="M151" s="75">
        <f>IF(O150&lt;0,0,+O150/($C$3-A150))</f>
        <v>1128.2200200973391</v>
      </c>
      <c r="N151" s="75">
        <f t="shared" si="35"/>
        <v>2312.3763695566308</v>
      </c>
      <c r="O151" s="75">
        <f t="shared" si="32"/>
        <v>242567.30432092791</v>
      </c>
      <c r="T151" s="74"/>
    </row>
    <row r="152" spans="1:20" s="61" customFormat="1" outlineLevel="1" x14ac:dyDescent="0.25">
      <c r="A152" s="71">
        <v>146</v>
      </c>
      <c r="B152" s="75">
        <f t="shared" si="24"/>
        <v>4100.9182743504398</v>
      </c>
      <c r="C152" s="75">
        <f t="shared" si="30"/>
        <v>538.34193142672802</v>
      </c>
      <c r="D152" s="75">
        <f t="shared" si="25"/>
        <v>3562.5763429237118</v>
      </c>
      <c r="E152" s="75">
        <f t="shared" si="26"/>
        <v>374912.61031134741</v>
      </c>
      <c r="F152" s="64"/>
      <c r="G152" s="75">
        <f t="shared" si="27"/>
        <v>3527.8561092098807</v>
      </c>
      <c r="H152" s="75">
        <f t="shared" si="31"/>
        <v>1160.4444444444443</v>
      </c>
      <c r="I152" s="75">
        <f t="shared" si="28"/>
        <v>2367.4116647654364</v>
      </c>
      <c r="J152" s="75">
        <f t="shared" si="29"/>
        <v>248335.11111111206</v>
      </c>
      <c r="K152" s="69"/>
      <c r="L152" s="75">
        <f t="shared" si="33"/>
        <v>3440.5963896539697</v>
      </c>
      <c r="M152" s="75">
        <f t="shared" si="34"/>
        <v>1138.9254662526932</v>
      </c>
      <c r="N152" s="75">
        <f t="shared" si="35"/>
        <v>2301.6709234012765</v>
      </c>
      <c r="O152" s="75">
        <f t="shared" si="32"/>
        <v>241428.37885467522</v>
      </c>
      <c r="T152" s="74"/>
    </row>
    <row r="153" spans="1:20" s="61" customFormat="1" outlineLevel="1" x14ac:dyDescent="0.25">
      <c r="A153" s="71">
        <v>147</v>
      </c>
      <c r="B153" s="75">
        <f t="shared" si="24"/>
        <v>4100.9182743504398</v>
      </c>
      <c r="C153" s="75">
        <f t="shared" si="30"/>
        <v>543.45014654203953</v>
      </c>
      <c r="D153" s="75">
        <f t="shared" si="25"/>
        <v>3557.4681278083999</v>
      </c>
      <c r="E153" s="75">
        <f t="shared" si="26"/>
        <v>374369.16016480536</v>
      </c>
      <c r="F153" s="64"/>
      <c r="G153" s="75">
        <f t="shared" si="27"/>
        <v>3516.8448921644599</v>
      </c>
      <c r="H153" s="75">
        <f t="shared" si="31"/>
        <v>1160.4444444444443</v>
      </c>
      <c r="I153" s="75">
        <f t="shared" si="28"/>
        <v>2356.4004477200156</v>
      </c>
      <c r="J153" s="75">
        <f t="shared" si="29"/>
        <v>247174.66666666762</v>
      </c>
      <c r="K153" s="69"/>
      <c r="L153" s="75">
        <f t="shared" si="33"/>
        <v>3440.5963896539697</v>
      </c>
      <c r="M153" s="75">
        <f t="shared" si="34"/>
        <v>1149.7324941698889</v>
      </c>
      <c r="N153" s="75">
        <f t="shared" si="35"/>
        <v>2290.8638954840808</v>
      </c>
      <c r="O153" s="75">
        <f t="shared" si="32"/>
        <v>240278.64636050534</v>
      </c>
      <c r="T153" s="74"/>
    </row>
    <row r="154" spans="1:20" s="61" customFormat="1" outlineLevel="1" x14ac:dyDescent="0.25">
      <c r="A154" s="71">
        <v>148</v>
      </c>
      <c r="B154" s="75">
        <f t="shared" si="24"/>
        <v>4100.9182743504398</v>
      </c>
      <c r="C154" s="75">
        <f t="shared" si="30"/>
        <v>548.60683245284588</v>
      </c>
      <c r="D154" s="75">
        <f t="shared" si="25"/>
        <v>3552.3114418975938</v>
      </c>
      <c r="E154" s="75">
        <f t="shared" si="26"/>
        <v>373820.55333235255</v>
      </c>
      <c r="F154" s="64"/>
      <c r="G154" s="75">
        <f t="shared" si="27"/>
        <v>3505.8336751190395</v>
      </c>
      <c r="H154" s="75">
        <f t="shared" si="31"/>
        <v>1160.4444444444443</v>
      </c>
      <c r="I154" s="75">
        <f t="shared" si="28"/>
        <v>2345.3892306745952</v>
      </c>
      <c r="J154" s="75">
        <f t="shared" si="29"/>
        <v>246014.22222222318</v>
      </c>
      <c r="K154" s="69"/>
      <c r="L154" s="75">
        <f t="shared" si="33"/>
        <v>3440.5963896539697</v>
      </c>
      <c r="M154" s="75">
        <f t="shared" si="34"/>
        <v>1160.6420677372284</v>
      </c>
      <c r="N154" s="75">
        <f t="shared" si="35"/>
        <v>2279.9543219167413</v>
      </c>
      <c r="O154" s="75">
        <f t="shared" si="32"/>
        <v>239118.00429276811</v>
      </c>
      <c r="T154" s="74"/>
    </row>
    <row r="155" spans="1:20" s="61" customFormat="1" outlineLevel="1" x14ac:dyDescent="0.25">
      <c r="A155" s="71">
        <v>149</v>
      </c>
      <c r="B155" s="75">
        <f t="shared" si="24"/>
        <v>4100.9182743504398</v>
      </c>
      <c r="C155" s="75">
        <f t="shared" si="30"/>
        <v>553.81244908848851</v>
      </c>
      <c r="D155" s="75">
        <f t="shared" si="25"/>
        <v>3547.1058252619514</v>
      </c>
      <c r="E155" s="75">
        <f t="shared" si="26"/>
        <v>373266.74088326405</v>
      </c>
      <c r="F155" s="64"/>
      <c r="G155" s="75">
        <f t="shared" si="27"/>
        <v>3494.8224580736191</v>
      </c>
      <c r="H155" s="75">
        <f t="shared" si="31"/>
        <v>1160.4444444444443</v>
      </c>
      <c r="I155" s="75">
        <f t="shared" si="28"/>
        <v>2334.3780136291748</v>
      </c>
      <c r="J155" s="75">
        <f t="shared" si="29"/>
        <v>244853.77777777874</v>
      </c>
      <c r="K155" s="69"/>
      <c r="L155" s="75">
        <f t="shared" si="33"/>
        <v>3440.5963896539697</v>
      </c>
      <c r="M155" s="75">
        <f t="shared" si="34"/>
        <v>1171.6551599891532</v>
      </c>
      <c r="N155" s="75">
        <f t="shared" si="35"/>
        <v>2268.9412296648165</v>
      </c>
      <c r="O155" s="75">
        <f t="shared" si="32"/>
        <v>237946.34913277897</v>
      </c>
      <c r="T155" s="74"/>
    </row>
    <row r="156" spans="1:20" s="61" customFormat="1" outlineLevel="1" x14ac:dyDescent="0.25">
      <c r="A156" s="71">
        <v>150</v>
      </c>
      <c r="B156" s="75">
        <f t="shared" si="24"/>
        <v>4100.9182743504398</v>
      </c>
      <c r="C156" s="75">
        <f t="shared" si="30"/>
        <v>559.06746074248338</v>
      </c>
      <c r="D156" s="75">
        <f t="shared" si="25"/>
        <v>3541.8508136079563</v>
      </c>
      <c r="E156" s="75">
        <f t="shared" si="26"/>
        <v>372707.67342252156</v>
      </c>
      <c r="F156" s="64"/>
      <c r="G156" s="75">
        <f t="shared" si="27"/>
        <v>3483.8112410281983</v>
      </c>
      <c r="H156" s="75">
        <f t="shared" si="31"/>
        <v>1160.4444444444443</v>
      </c>
      <c r="I156" s="75">
        <f t="shared" si="28"/>
        <v>2323.366796583754</v>
      </c>
      <c r="J156" s="75">
        <f t="shared" si="29"/>
        <v>243693.3333333343</v>
      </c>
      <c r="K156" s="69"/>
      <c r="L156" s="75">
        <f t="shared" si="33"/>
        <v>3440.5963896539697</v>
      </c>
      <c r="M156" s="75">
        <f t="shared" si="34"/>
        <v>1182.7727531930259</v>
      </c>
      <c r="N156" s="75">
        <f t="shared" si="35"/>
        <v>2257.8236364609438</v>
      </c>
      <c r="O156" s="75">
        <f t="shared" si="32"/>
        <v>236763.57637958595</v>
      </c>
      <c r="T156" s="74"/>
    </row>
    <row r="157" spans="1:20" s="61" customFormat="1" outlineLevel="1" x14ac:dyDescent="0.25">
      <c r="A157" s="71">
        <v>151</v>
      </c>
      <c r="B157" s="75">
        <f t="shared" si="24"/>
        <v>4100.9182743504398</v>
      </c>
      <c r="C157" s="75">
        <f t="shared" si="30"/>
        <v>564.37233611393208</v>
      </c>
      <c r="D157" s="75">
        <f t="shared" si="25"/>
        <v>3536.5459382365079</v>
      </c>
      <c r="E157" s="75">
        <f t="shared" si="26"/>
        <v>372143.30108640762</v>
      </c>
      <c r="F157" s="64"/>
      <c r="G157" s="75">
        <f t="shared" si="27"/>
        <v>3472.8000239827779</v>
      </c>
      <c r="H157" s="75">
        <f t="shared" si="31"/>
        <v>1160.4444444444443</v>
      </c>
      <c r="I157" s="75">
        <f t="shared" si="28"/>
        <v>2312.3555795383336</v>
      </c>
      <c r="J157" s="75">
        <f t="shared" si="29"/>
        <v>242532.88888888987</v>
      </c>
      <c r="K157" s="69"/>
      <c r="L157" s="75">
        <f t="shared" si="33"/>
        <v>3440.5963896539697</v>
      </c>
      <c r="M157" s="75">
        <f t="shared" si="34"/>
        <v>1193.9958389367412</v>
      </c>
      <c r="N157" s="75">
        <f t="shared" si="35"/>
        <v>2246.6005507172285</v>
      </c>
      <c r="O157" s="75">
        <f t="shared" si="32"/>
        <v>235569.58054064921</v>
      </c>
      <c r="T157" s="74"/>
    </row>
    <row r="158" spans="1:20" s="61" customFormat="1" outlineLevel="1" x14ac:dyDescent="0.25">
      <c r="A158" s="71">
        <v>152</v>
      </c>
      <c r="B158" s="75">
        <f t="shared" si="24"/>
        <v>4100.9182743504398</v>
      </c>
      <c r="C158" s="75">
        <f t="shared" si="30"/>
        <v>569.72754834932402</v>
      </c>
      <c r="D158" s="75">
        <f t="shared" si="25"/>
        <v>3531.1907260011158</v>
      </c>
      <c r="E158" s="75">
        <f t="shared" si="26"/>
        <v>371573.57353805832</v>
      </c>
      <c r="F158" s="64"/>
      <c r="G158" s="75">
        <f t="shared" si="27"/>
        <v>3461.7888069373575</v>
      </c>
      <c r="H158" s="75">
        <f t="shared" si="31"/>
        <v>1160.4444444444443</v>
      </c>
      <c r="I158" s="75">
        <f t="shared" si="28"/>
        <v>2301.3443624929132</v>
      </c>
      <c r="J158" s="75">
        <f t="shared" si="29"/>
        <v>241372.44444444543</v>
      </c>
      <c r="K158" s="69"/>
      <c r="L158" s="75">
        <f t="shared" si="33"/>
        <v>3440.5963896539697</v>
      </c>
      <c r="M158" s="75">
        <f t="shared" si="34"/>
        <v>1205.3254182171659</v>
      </c>
      <c r="N158" s="75">
        <f t="shared" si="35"/>
        <v>2235.2709714368038</v>
      </c>
      <c r="O158" s="75">
        <f t="shared" si="32"/>
        <v>234364.25512243205</v>
      </c>
      <c r="T158" s="74"/>
    </row>
    <row r="159" spans="1:20" s="61" customFormat="1" outlineLevel="1" x14ac:dyDescent="0.25">
      <c r="A159" s="71">
        <v>153</v>
      </c>
      <c r="B159" s="75">
        <f t="shared" si="24"/>
        <v>4100.9182743504398</v>
      </c>
      <c r="C159" s="75">
        <f t="shared" si="30"/>
        <v>575.13357508473837</v>
      </c>
      <c r="D159" s="75">
        <f t="shared" si="25"/>
        <v>3525.7846992657014</v>
      </c>
      <c r="E159" s="75">
        <f t="shared" si="26"/>
        <v>370998.43996297359</v>
      </c>
      <c r="F159" s="64"/>
      <c r="G159" s="75">
        <f t="shared" si="27"/>
        <v>3450.7775898919367</v>
      </c>
      <c r="H159" s="75">
        <f t="shared" si="31"/>
        <v>1160.4444444444443</v>
      </c>
      <c r="I159" s="75">
        <f t="shared" si="28"/>
        <v>2290.3331454474924</v>
      </c>
      <c r="J159" s="75">
        <f t="shared" si="29"/>
        <v>240212.00000000099</v>
      </c>
      <c r="K159" s="69"/>
      <c r="L159" s="75">
        <f t="shared" si="33"/>
        <v>3440.5963896539697</v>
      </c>
      <c r="M159" s="75">
        <f t="shared" si="34"/>
        <v>1216.7625015294179</v>
      </c>
      <c r="N159" s="75">
        <f t="shared" si="35"/>
        <v>2223.8338881245518</v>
      </c>
      <c r="O159" s="75">
        <f t="shared" si="32"/>
        <v>233147.49262090263</v>
      </c>
      <c r="T159" s="74"/>
    </row>
    <row r="160" spans="1:20" s="61" customFormat="1" outlineLevel="1" x14ac:dyDescent="0.25">
      <c r="A160" s="71">
        <v>154</v>
      </c>
      <c r="B160" s="75">
        <f t="shared" si="24"/>
        <v>4100.9182743504398</v>
      </c>
      <c r="C160" s="75">
        <f t="shared" si="30"/>
        <v>580.59089848844394</v>
      </c>
      <c r="D160" s="75">
        <f t="shared" si="25"/>
        <v>3520.3273758619962</v>
      </c>
      <c r="E160" s="75">
        <f t="shared" si="26"/>
        <v>370417.84906448517</v>
      </c>
      <c r="F160" s="64"/>
      <c r="G160" s="75">
        <f t="shared" si="27"/>
        <v>3439.7663728465163</v>
      </c>
      <c r="H160" s="75">
        <f t="shared" si="31"/>
        <v>1160.4444444444443</v>
      </c>
      <c r="I160" s="75">
        <f t="shared" si="28"/>
        <v>2279.321928402072</v>
      </c>
      <c r="J160" s="75">
        <f t="shared" si="29"/>
        <v>239051.55555555655</v>
      </c>
      <c r="K160" s="69"/>
      <c r="L160" s="75">
        <f t="shared" si="33"/>
        <v>3440.5963896539697</v>
      </c>
      <c r="M160" s="75">
        <f t="shared" si="34"/>
        <v>1228.308108956996</v>
      </c>
      <c r="N160" s="75">
        <f t="shared" si="35"/>
        <v>2212.2882806969737</v>
      </c>
      <c r="O160" s="75">
        <f t="shared" si="32"/>
        <v>231919.18451194564</v>
      </c>
      <c r="T160" s="74"/>
    </row>
    <row r="161" spans="1:20" s="61" customFormat="1" outlineLevel="1" x14ac:dyDescent="0.25">
      <c r="A161" s="71">
        <v>155</v>
      </c>
      <c r="B161" s="75">
        <f t="shared" si="24"/>
        <v>4100.9182743504407</v>
      </c>
      <c r="C161" s="75">
        <f t="shared" si="30"/>
        <v>586.10000530390437</v>
      </c>
      <c r="D161" s="75">
        <f t="shared" si="25"/>
        <v>3514.818269046536</v>
      </c>
      <c r="E161" s="75">
        <f t="shared" si="26"/>
        <v>369831.74905918125</v>
      </c>
      <c r="F161" s="64"/>
      <c r="G161" s="75">
        <f t="shared" si="27"/>
        <v>3428.755155801096</v>
      </c>
      <c r="H161" s="75">
        <f t="shared" si="31"/>
        <v>1160.4444444444443</v>
      </c>
      <c r="I161" s="75">
        <f t="shared" si="28"/>
        <v>2268.3107113566516</v>
      </c>
      <c r="J161" s="75">
        <f t="shared" si="29"/>
        <v>237891.11111111211</v>
      </c>
      <c r="K161" s="69"/>
      <c r="L161" s="75">
        <f t="shared" si="33"/>
        <v>3440.5963896539697</v>
      </c>
      <c r="M161" s="75">
        <f t="shared" si="34"/>
        <v>1239.9632702627582</v>
      </c>
      <c r="N161" s="75">
        <f t="shared" si="35"/>
        <v>2200.6331193912115</v>
      </c>
      <c r="O161" s="75">
        <f t="shared" si="32"/>
        <v>230679.22124168288</v>
      </c>
      <c r="T161" s="74"/>
    </row>
    <row r="162" spans="1:20" s="61" customFormat="1" x14ac:dyDescent="0.25">
      <c r="A162" s="69">
        <v>156</v>
      </c>
      <c r="B162" s="73">
        <f t="shared" si="24"/>
        <v>4100.9182743504398</v>
      </c>
      <c r="C162" s="73">
        <f t="shared" si="30"/>
        <v>591.66138689319109</v>
      </c>
      <c r="D162" s="73">
        <f t="shared" si="25"/>
        <v>3509.2568874572489</v>
      </c>
      <c r="E162" s="73">
        <f t="shared" si="26"/>
        <v>369240.08767228806</v>
      </c>
      <c r="F162" s="64"/>
      <c r="G162" s="73">
        <f t="shared" si="27"/>
        <v>3417.7439387556751</v>
      </c>
      <c r="H162" s="73">
        <f t="shared" si="31"/>
        <v>1160.4444444444443</v>
      </c>
      <c r="I162" s="73">
        <f t="shared" si="28"/>
        <v>2257.2994943112308</v>
      </c>
      <c r="J162" s="73">
        <f t="shared" si="29"/>
        <v>236730.66666666768</v>
      </c>
      <c r="K162" s="69"/>
      <c r="L162" s="73">
        <f t="shared" si="33"/>
        <v>3440.5963896539697</v>
      </c>
      <c r="M162" s="73">
        <f t="shared" si="34"/>
        <v>1251.7290249807697</v>
      </c>
      <c r="N162" s="73">
        <f t="shared" si="35"/>
        <v>2188.8673646732</v>
      </c>
      <c r="O162" s="73">
        <f t="shared" si="32"/>
        <v>229427.49221670211</v>
      </c>
      <c r="T162" s="74"/>
    </row>
    <row r="163" spans="1:20" s="61" customFormat="1" outlineLevel="1" x14ac:dyDescent="0.25">
      <c r="A163" s="71">
        <v>157</v>
      </c>
      <c r="B163" s="75">
        <f t="shared" si="24"/>
        <v>4100.9182743504398</v>
      </c>
      <c r="C163" s="75">
        <f t="shared" si="30"/>
        <v>597.27553928080874</v>
      </c>
      <c r="D163" s="75">
        <f t="shared" si="25"/>
        <v>3503.6427350696313</v>
      </c>
      <c r="E163" s="75">
        <f t="shared" si="26"/>
        <v>368642.81213300728</v>
      </c>
      <c r="F163" s="64"/>
      <c r="G163" s="75">
        <f t="shared" si="27"/>
        <v>3406.7327217102547</v>
      </c>
      <c r="H163" s="75">
        <f t="shared" si="31"/>
        <v>1160.4444444444443</v>
      </c>
      <c r="I163" s="75">
        <f t="shared" si="28"/>
        <v>2246.2882772658104</v>
      </c>
      <c r="J163" s="75">
        <f t="shared" si="29"/>
        <v>235570.22222222324</v>
      </c>
      <c r="K163" s="69"/>
      <c r="L163" s="75">
        <f>+M163+N163</f>
        <v>3301.6345368346661</v>
      </c>
      <c r="M163" s="75">
        <f>IF(O162&lt;0,0,+O162/($C$3-A162))</f>
        <v>1124.6445696897163</v>
      </c>
      <c r="N163" s="75">
        <f t="shared" si="35"/>
        <v>2176.9899671449498</v>
      </c>
      <c r="O163" s="75">
        <f t="shared" si="32"/>
        <v>228302.84764701239</v>
      </c>
      <c r="T163" s="74"/>
    </row>
    <row r="164" spans="1:20" s="61" customFormat="1" outlineLevel="1" x14ac:dyDescent="0.25">
      <c r="A164" s="71">
        <v>158</v>
      </c>
      <c r="B164" s="75">
        <f t="shared" si="24"/>
        <v>4100.9182743504407</v>
      </c>
      <c r="C164" s="75">
        <f t="shared" si="30"/>
        <v>602.94296319793591</v>
      </c>
      <c r="D164" s="75">
        <f t="shared" si="25"/>
        <v>3497.9753111525047</v>
      </c>
      <c r="E164" s="75">
        <f t="shared" si="26"/>
        <v>368039.86916980933</v>
      </c>
      <c r="F164" s="64"/>
      <c r="G164" s="75">
        <f t="shared" si="27"/>
        <v>3395.7215046648344</v>
      </c>
      <c r="H164" s="75">
        <f t="shared" si="31"/>
        <v>1160.4444444444443</v>
      </c>
      <c r="I164" s="75">
        <f t="shared" si="28"/>
        <v>2235.27706022039</v>
      </c>
      <c r="J164" s="75">
        <f t="shared" si="29"/>
        <v>234409.7777777788</v>
      </c>
      <c r="K164" s="69"/>
      <c r="L164" s="75">
        <f t="shared" si="33"/>
        <v>3301.6345368346661</v>
      </c>
      <c r="M164" s="75">
        <f t="shared" si="34"/>
        <v>1135.3160891365055</v>
      </c>
      <c r="N164" s="75">
        <f t="shared" si="35"/>
        <v>2166.3184476981605</v>
      </c>
      <c r="O164" s="75">
        <f t="shared" si="32"/>
        <v>227167.53155787589</v>
      </c>
      <c r="T164" s="74"/>
    </row>
    <row r="165" spans="1:20" s="61" customFormat="1" outlineLevel="1" x14ac:dyDescent="0.25">
      <c r="A165" s="71">
        <v>159</v>
      </c>
      <c r="B165" s="75">
        <f t="shared" si="24"/>
        <v>4100.9182743504407</v>
      </c>
      <c r="C165" s="75">
        <f t="shared" si="30"/>
        <v>608.66416412708497</v>
      </c>
      <c r="D165" s="75">
        <f t="shared" si="25"/>
        <v>3492.2541102233554</v>
      </c>
      <c r="E165" s="75">
        <f t="shared" si="26"/>
        <v>367431.20500568225</v>
      </c>
      <c r="F165" s="64"/>
      <c r="G165" s="75">
        <f t="shared" si="27"/>
        <v>3384.7102876194135</v>
      </c>
      <c r="H165" s="75">
        <f t="shared" si="31"/>
        <v>1160.4444444444443</v>
      </c>
      <c r="I165" s="75">
        <f t="shared" si="28"/>
        <v>2224.2658431749692</v>
      </c>
      <c r="J165" s="75">
        <f t="shared" si="29"/>
        <v>233249.33333333436</v>
      </c>
      <c r="K165" s="69"/>
      <c r="L165" s="75">
        <f t="shared" si="33"/>
        <v>3301.6345368346661</v>
      </c>
      <c r="M165" s="75">
        <f t="shared" si="34"/>
        <v>1146.0888684216225</v>
      </c>
      <c r="N165" s="75">
        <f t="shared" si="35"/>
        <v>2155.5456684130436</v>
      </c>
      <c r="O165" s="75">
        <f t="shared" si="32"/>
        <v>226021.44268945427</v>
      </c>
      <c r="T165" s="74"/>
    </row>
    <row r="166" spans="1:20" s="61" customFormat="1" outlineLevel="1" x14ac:dyDescent="0.25">
      <c r="A166" s="71">
        <v>160</v>
      </c>
      <c r="B166" s="75">
        <f t="shared" si="24"/>
        <v>4100.9182743504407</v>
      </c>
      <c r="C166" s="75">
        <f t="shared" si="30"/>
        <v>614.43965234718792</v>
      </c>
      <c r="D166" s="75">
        <f t="shared" si="25"/>
        <v>3486.4786220032524</v>
      </c>
      <c r="E166" s="75">
        <f t="shared" si="26"/>
        <v>366816.76535333507</v>
      </c>
      <c r="F166" s="64"/>
      <c r="G166" s="75">
        <f t="shared" si="27"/>
        <v>3373.6990705739931</v>
      </c>
      <c r="H166" s="75">
        <f t="shared" si="31"/>
        <v>1160.4444444444443</v>
      </c>
      <c r="I166" s="75">
        <f t="shared" si="28"/>
        <v>2213.2546261295488</v>
      </c>
      <c r="J166" s="75">
        <f t="shared" si="29"/>
        <v>232088.88888888992</v>
      </c>
      <c r="K166" s="69"/>
      <c r="L166" s="75">
        <f t="shared" si="33"/>
        <v>3301.6345368346661</v>
      </c>
      <c r="M166" s="75">
        <f t="shared" si="34"/>
        <v>1156.9638683787057</v>
      </c>
      <c r="N166" s="75">
        <f t="shared" si="35"/>
        <v>2144.6706684559604</v>
      </c>
      <c r="O166" s="75">
        <f t="shared" si="32"/>
        <v>224864.47882107555</v>
      </c>
      <c r="T166" s="74"/>
    </row>
    <row r="167" spans="1:20" s="61" customFormat="1" outlineLevel="1" x14ac:dyDescent="0.25">
      <c r="A167" s="71">
        <v>161</v>
      </c>
      <c r="B167" s="75">
        <f t="shared" si="24"/>
        <v>4100.9182743504407</v>
      </c>
      <c r="C167" s="75">
        <f t="shared" si="30"/>
        <v>620.26994297910767</v>
      </c>
      <c r="D167" s="75">
        <f t="shared" si="25"/>
        <v>3480.6483313713329</v>
      </c>
      <c r="E167" s="75">
        <f t="shared" si="26"/>
        <v>366196.49541035597</v>
      </c>
      <c r="F167" s="64"/>
      <c r="G167" s="75">
        <f t="shared" si="27"/>
        <v>3362.6878535285728</v>
      </c>
      <c r="H167" s="75">
        <f t="shared" si="31"/>
        <v>1160.4444444444443</v>
      </c>
      <c r="I167" s="75">
        <f t="shared" si="28"/>
        <v>2202.2434090841284</v>
      </c>
      <c r="J167" s="75">
        <f t="shared" si="29"/>
        <v>230928.44444444549</v>
      </c>
      <c r="K167" s="69"/>
      <c r="L167" s="75">
        <f t="shared" si="33"/>
        <v>3301.6345368346661</v>
      </c>
      <c r="M167" s="75">
        <f t="shared" si="34"/>
        <v>1167.9420589585457</v>
      </c>
      <c r="N167" s="75">
        <f t="shared" si="35"/>
        <v>2133.6924778761204</v>
      </c>
      <c r="O167" s="75">
        <f t="shared" si="32"/>
        <v>223696.536762117</v>
      </c>
      <c r="T167" s="74"/>
    </row>
    <row r="168" spans="1:20" s="61" customFormat="1" outlineLevel="1" x14ac:dyDescent="0.25">
      <c r="A168" s="71">
        <v>162</v>
      </c>
      <c r="B168" s="75">
        <f t="shared" si="24"/>
        <v>4100.9182743504407</v>
      </c>
      <c r="C168" s="75">
        <f t="shared" si="30"/>
        <v>626.15555603158202</v>
      </c>
      <c r="D168" s="75">
        <f t="shared" si="25"/>
        <v>3474.7627183188583</v>
      </c>
      <c r="E168" s="75">
        <f t="shared" si="26"/>
        <v>365570.33985432441</v>
      </c>
      <c r="F168" s="64"/>
      <c r="G168" s="75">
        <f t="shared" si="27"/>
        <v>3351.6766364831519</v>
      </c>
      <c r="H168" s="75">
        <f t="shared" si="31"/>
        <v>1160.4444444444443</v>
      </c>
      <c r="I168" s="75">
        <f t="shared" si="28"/>
        <v>2191.2321920387076</v>
      </c>
      <c r="J168" s="75">
        <f t="shared" si="29"/>
        <v>229768.00000000105</v>
      </c>
      <c r="K168" s="69"/>
      <c r="L168" s="75">
        <f t="shared" si="33"/>
        <v>3301.6345368346661</v>
      </c>
      <c r="M168" s="75">
        <f t="shared" si="34"/>
        <v>1179.0244193155936</v>
      </c>
      <c r="N168" s="75">
        <f t="shared" si="35"/>
        <v>2122.6101175190724</v>
      </c>
      <c r="O168" s="75">
        <f t="shared" si="32"/>
        <v>222517.5123428014</v>
      </c>
      <c r="T168" s="74"/>
    </row>
    <row r="169" spans="1:20" s="61" customFormat="1" outlineLevel="1" x14ac:dyDescent="0.25">
      <c r="A169" s="71">
        <v>163</v>
      </c>
      <c r="B169" s="75">
        <f t="shared" si="24"/>
        <v>4100.9182743504407</v>
      </c>
      <c r="C169" s="75">
        <f t="shared" si="30"/>
        <v>632.09701644760446</v>
      </c>
      <c r="D169" s="75">
        <f t="shared" si="25"/>
        <v>3468.8212579028364</v>
      </c>
      <c r="E169" s="75">
        <f t="shared" si="26"/>
        <v>364938.24283787678</v>
      </c>
      <c r="F169" s="64"/>
      <c r="G169" s="75">
        <f t="shared" si="27"/>
        <v>3340.6654194377315</v>
      </c>
      <c r="H169" s="75">
        <f t="shared" si="31"/>
        <v>1160.4444444444443</v>
      </c>
      <c r="I169" s="75">
        <f t="shared" si="28"/>
        <v>2180.2209749932872</v>
      </c>
      <c r="J169" s="75">
        <f t="shared" si="29"/>
        <v>228607.55555555661</v>
      </c>
      <c r="K169" s="69"/>
      <c r="L169" s="75">
        <f t="shared" si="33"/>
        <v>3301.6345368346661</v>
      </c>
      <c r="M169" s="75">
        <f t="shared" si="34"/>
        <v>1190.2119378952966</v>
      </c>
      <c r="N169" s="75">
        <f t="shared" si="35"/>
        <v>2111.4225989393694</v>
      </c>
      <c r="O169" s="75">
        <f t="shared" si="32"/>
        <v>221327.3004049061</v>
      </c>
      <c r="T169" s="74"/>
    </row>
    <row r="170" spans="1:20" s="61" customFormat="1" outlineLevel="1" x14ac:dyDescent="0.25">
      <c r="A170" s="71">
        <v>164</v>
      </c>
      <c r="B170" s="75">
        <f t="shared" si="24"/>
        <v>4100.9182743504407</v>
      </c>
      <c r="C170" s="75">
        <f t="shared" si="30"/>
        <v>638.09485415124345</v>
      </c>
      <c r="D170" s="75">
        <f t="shared" si="25"/>
        <v>3462.8234201991968</v>
      </c>
      <c r="E170" s="75">
        <f t="shared" si="26"/>
        <v>364300.14798372553</v>
      </c>
      <c r="F170" s="64"/>
      <c r="G170" s="75">
        <f t="shared" si="27"/>
        <v>3329.6542023923112</v>
      </c>
      <c r="H170" s="75">
        <f t="shared" si="31"/>
        <v>1160.4444444444443</v>
      </c>
      <c r="I170" s="75">
        <f t="shared" si="28"/>
        <v>2169.2097579478668</v>
      </c>
      <c r="J170" s="75">
        <f t="shared" si="29"/>
        <v>227447.11111111217</v>
      </c>
      <c r="K170" s="69"/>
      <c r="L170" s="75">
        <f t="shared" si="33"/>
        <v>3301.6345368346661</v>
      </c>
      <c r="M170" s="75">
        <f t="shared" si="34"/>
        <v>1201.5056125222536</v>
      </c>
      <c r="N170" s="75">
        <f t="shared" si="35"/>
        <v>2100.1289243124124</v>
      </c>
      <c r="O170" s="75">
        <f t="shared" si="32"/>
        <v>220125.79479238385</v>
      </c>
      <c r="T170" s="74"/>
    </row>
    <row r="171" spans="1:20" s="61" customFormat="1" outlineLevel="1" x14ac:dyDescent="0.25">
      <c r="A171" s="71">
        <v>165</v>
      </c>
      <c r="B171" s="75">
        <f t="shared" si="24"/>
        <v>4100.9182743504407</v>
      </c>
      <c r="C171" s="75">
        <f t="shared" si="30"/>
        <v>644.14960409490766</v>
      </c>
      <c r="D171" s="75">
        <f t="shared" si="25"/>
        <v>3456.7686702555329</v>
      </c>
      <c r="E171" s="75">
        <f t="shared" si="26"/>
        <v>363655.99837963062</v>
      </c>
      <c r="F171" s="64"/>
      <c r="G171" s="75">
        <f t="shared" si="27"/>
        <v>3318.6429853468903</v>
      </c>
      <c r="H171" s="75">
        <f t="shared" si="31"/>
        <v>1160.4444444444443</v>
      </c>
      <c r="I171" s="75">
        <f t="shared" si="28"/>
        <v>2158.198540902446</v>
      </c>
      <c r="J171" s="75">
        <f t="shared" si="29"/>
        <v>226286.66666666773</v>
      </c>
      <c r="K171" s="69"/>
      <c r="L171" s="75">
        <f t="shared" si="33"/>
        <v>3301.6345368346661</v>
      </c>
      <c r="M171" s="75">
        <f t="shared" si="34"/>
        <v>1212.9064504892167</v>
      </c>
      <c r="N171" s="75">
        <f t="shared" si="35"/>
        <v>2088.7280863454494</v>
      </c>
      <c r="O171" s="75">
        <f t="shared" si="32"/>
        <v>218912.88834189464</v>
      </c>
      <c r="T171" s="74"/>
    </row>
    <row r="172" spans="1:20" s="61" customFormat="1" outlineLevel="1" x14ac:dyDescent="0.25">
      <c r="A172" s="71">
        <v>166</v>
      </c>
      <c r="B172" s="75">
        <f t="shared" si="24"/>
        <v>4100.9182743504407</v>
      </c>
      <c r="C172" s="75">
        <f t="shared" si="30"/>
        <v>650.26180630705778</v>
      </c>
      <c r="D172" s="75">
        <f t="shared" si="25"/>
        <v>3450.6564680433826</v>
      </c>
      <c r="E172" s="75">
        <f t="shared" si="26"/>
        <v>363005.73657332355</v>
      </c>
      <c r="F172" s="64"/>
      <c r="G172" s="75">
        <f t="shared" si="27"/>
        <v>3307.6317683014699</v>
      </c>
      <c r="H172" s="75">
        <f t="shared" si="31"/>
        <v>1160.4444444444443</v>
      </c>
      <c r="I172" s="75">
        <f t="shared" si="28"/>
        <v>2147.1873238570256</v>
      </c>
      <c r="J172" s="75">
        <f t="shared" si="29"/>
        <v>225126.2222222233</v>
      </c>
      <c r="K172" s="69"/>
      <c r="L172" s="75">
        <f t="shared" si="33"/>
        <v>3301.6345368346661</v>
      </c>
      <c r="M172" s="75">
        <f t="shared" si="34"/>
        <v>1224.4154686469292</v>
      </c>
      <c r="N172" s="75">
        <f t="shared" si="35"/>
        <v>2077.2190681877369</v>
      </c>
      <c r="O172" s="75">
        <f t="shared" si="32"/>
        <v>217688.47287324769</v>
      </c>
      <c r="T172" s="74"/>
    </row>
    <row r="173" spans="1:20" s="61" customFormat="1" outlineLevel="1" x14ac:dyDescent="0.25">
      <c r="A173" s="71">
        <v>167</v>
      </c>
      <c r="B173" s="75">
        <f t="shared" si="24"/>
        <v>4100.9182743504398</v>
      </c>
      <c r="C173" s="75">
        <f t="shared" si="30"/>
        <v>656.43200594037341</v>
      </c>
      <c r="D173" s="75">
        <f t="shared" si="25"/>
        <v>3444.4862684100667</v>
      </c>
      <c r="E173" s="75">
        <f t="shared" si="26"/>
        <v>362349.30456738319</v>
      </c>
      <c r="F173" s="64"/>
      <c r="G173" s="75">
        <f t="shared" si="27"/>
        <v>3296.6205512560496</v>
      </c>
      <c r="H173" s="75">
        <f t="shared" si="31"/>
        <v>1160.4444444444443</v>
      </c>
      <c r="I173" s="75">
        <f t="shared" si="28"/>
        <v>2136.1761068116052</v>
      </c>
      <c r="J173" s="75">
        <f t="shared" si="29"/>
        <v>223965.77777777886</v>
      </c>
      <c r="K173" s="69"/>
      <c r="L173" s="75">
        <f t="shared" si="33"/>
        <v>3301.6345368346661</v>
      </c>
      <c r="M173" s="75">
        <f t="shared" si="34"/>
        <v>1236.0336934948205</v>
      </c>
      <c r="N173" s="75">
        <f t="shared" si="35"/>
        <v>2065.6008433398456</v>
      </c>
      <c r="O173" s="75">
        <f t="shared" si="32"/>
        <v>216452.43917975287</v>
      </c>
      <c r="T173" s="74"/>
    </row>
    <row r="174" spans="1:20" s="61" customFormat="1" x14ac:dyDescent="0.25">
      <c r="A174" s="69">
        <v>168</v>
      </c>
      <c r="B174" s="73">
        <f t="shared" si="24"/>
        <v>4100.9182743504407</v>
      </c>
      <c r="C174" s="73">
        <f t="shared" si="30"/>
        <v>662.66075332037462</v>
      </c>
      <c r="D174" s="73">
        <f t="shared" si="25"/>
        <v>3438.2575210300656</v>
      </c>
      <c r="E174" s="73">
        <f t="shared" si="26"/>
        <v>361686.64381406282</v>
      </c>
      <c r="F174" s="64"/>
      <c r="G174" s="73">
        <f t="shared" si="27"/>
        <v>3285.6093342106287</v>
      </c>
      <c r="H174" s="73">
        <f t="shared" si="31"/>
        <v>1160.4444444444443</v>
      </c>
      <c r="I174" s="73">
        <f t="shared" si="28"/>
        <v>2125.1648897661844</v>
      </c>
      <c r="J174" s="73">
        <f t="shared" si="29"/>
        <v>222805.33333333442</v>
      </c>
      <c r="K174" s="69"/>
      <c r="L174" s="73">
        <f t="shared" si="33"/>
        <v>3301.6345368346661</v>
      </c>
      <c r="M174" s="73">
        <f t="shared" si="34"/>
        <v>1247.7621612725607</v>
      </c>
      <c r="N174" s="73">
        <f t="shared" si="35"/>
        <v>2053.8723755621054</v>
      </c>
      <c r="O174" s="73">
        <f t="shared" si="32"/>
        <v>215204.67701848032</v>
      </c>
      <c r="T174" s="74"/>
    </row>
    <row r="175" spans="1:20" s="61" customFormat="1" outlineLevel="1" x14ac:dyDescent="0.25">
      <c r="A175" s="71">
        <v>169</v>
      </c>
      <c r="B175" s="75">
        <f t="shared" si="24"/>
        <v>4100.9182743504407</v>
      </c>
      <c r="C175" s="75">
        <f t="shared" si="30"/>
        <v>668.94860399450647</v>
      </c>
      <c r="D175" s="75">
        <f t="shared" si="25"/>
        <v>3431.9696703559339</v>
      </c>
      <c r="E175" s="75">
        <f t="shared" si="26"/>
        <v>361017.69521006831</v>
      </c>
      <c r="F175" s="64"/>
      <c r="G175" s="75">
        <f t="shared" si="27"/>
        <v>3274.5981171652084</v>
      </c>
      <c r="H175" s="75">
        <f t="shared" si="31"/>
        <v>1160.4444444444443</v>
      </c>
      <c r="I175" s="75">
        <f t="shared" si="28"/>
        <v>2114.153672720764</v>
      </c>
      <c r="J175" s="75">
        <f t="shared" si="29"/>
        <v>221644.88888888998</v>
      </c>
      <c r="K175" s="69"/>
      <c r="L175" s="75">
        <f>+M175+N175</f>
        <v>3162.8903115867674</v>
      </c>
      <c r="M175" s="75">
        <f>IF(O174&lt;0,0,+O174/($C$3-A174))</f>
        <v>1120.857692804585</v>
      </c>
      <c r="N175" s="75">
        <f t="shared" si="35"/>
        <v>2042.0326187821825</v>
      </c>
      <c r="O175" s="75">
        <f t="shared" si="32"/>
        <v>214083.81932567572</v>
      </c>
      <c r="T175" s="74"/>
    </row>
    <row r="176" spans="1:20" s="61" customFormat="1" outlineLevel="1" x14ac:dyDescent="0.25">
      <c r="A176" s="71">
        <v>170</v>
      </c>
      <c r="B176" s="75">
        <f t="shared" si="24"/>
        <v>4100.9182743504407</v>
      </c>
      <c r="C176" s="75">
        <f t="shared" si="30"/>
        <v>675.29611878168862</v>
      </c>
      <c r="D176" s="75">
        <f t="shared" si="25"/>
        <v>3425.6221555687516</v>
      </c>
      <c r="E176" s="75">
        <f t="shared" si="26"/>
        <v>360342.39909128664</v>
      </c>
      <c r="F176" s="64"/>
      <c r="G176" s="75">
        <f t="shared" si="27"/>
        <v>3263.586900119788</v>
      </c>
      <c r="H176" s="75">
        <f t="shared" si="31"/>
        <v>1160.4444444444443</v>
      </c>
      <c r="I176" s="75">
        <f t="shared" si="28"/>
        <v>2103.1424556753436</v>
      </c>
      <c r="J176" s="75">
        <f t="shared" si="29"/>
        <v>220484.44444444554</v>
      </c>
      <c r="K176" s="69"/>
      <c r="L176" s="75">
        <f t="shared" si="33"/>
        <v>3162.8903115867674</v>
      </c>
      <c r="M176" s="75">
        <f t="shared" si="34"/>
        <v>1131.4932793607422</v>
      </c>
      <c r="N176" s="75">
        <f t="shared" si="35"/>
        <v>2031.3970322260252</v>
      </c>
      <c r="O176" s="75">
        <f t="shared" si="32"/>
        <v>212952.32604631499</v>
      </c>
      <c r="T176" s="74"/>
    </row>
    <row r="177" spans="1:20" s="61" customFormat="1" outlineLevel="1" x14ac:dyDescent="0.25">
      <c r="A177" s="71">
        <v>171</v>
      </c>
      <c r="B177" s="75">
        <f t="shared" si="24"/>
        <v>4100.9182743504407</v>
      </c>
      <c r="C177" s="75">
        <f t="shared" si="30"/>
        <v>681.70386382233585</v>
      </c>
      <c r="D177" s="75">
        <f t="shared" si="25"/>
        <v>3419.214410528105</v>
      </c>
      <c r="E177" s="75">
        <f t="shared" si="26"/>
        <v>359660.69522746431</v>
      </c>
      <c r="F177" s="64"/>
      <c r="G177" s="75">
        <f t="shared" si="27"/>
        <v>3252.5756830743671</v>
      </c>
      <c r="H177" s="75">
        <f t="shared" si="31"/>
        <v>1160.4444444444443</v>
      </c>
      <c r="I177" s="75">
        <f t="shared" si="28"/>
        <v>2092.1312386299228</v>
      </c>
      <c r="J177" s="75">
        <f t="shared" si="29"/>
        <v>219324.00000000111</v>
      </c>
      <c r="K177" s="69"/>
      <c r="L177" s="75">
        <f t="shared" si="33"/>
        <v>3162.8903115867674</v>
      </c>
      <c r="M177" s="75">
        <f t="shared" si="34"/>
        <v>1142.2297847954687</v>
      </c>
      <c r="N177" s="75">
        <f t="shared" si="35"/>
        <v>2020.6605267912987</v>
      </c>
      <c r="O177" s="75">
        <f t="shared" si="32"/>
        <v>211810.09626151953</v>
      </c>
      <c r="T177" s="74"/>
    </row>
    <row r="178" spans="1:20" s="61" customFormat="1" outlineLevel="1" x14ac:dyDescent="0.25">
      <c r="A178" s="71">
        <v>172</v>
      </c>
      <c r="B178" s="75">
        <f t="shared" si="24"/>
        <v>4100.9182743504407</v>
      </c>
      <c r="C178" s="75">
        <f t="shared" si="30"/>
        <v>688.17241062885114</v>
      </c>
      <c r="D178" s="75">
        <f t="shared" si="25"/>
        <v>3412.7458637215896</v>
      </c>
      <c r="E178" s="75">
        <f t="shared" si="26"/>
        <v>358972.52281683544</v>
      </c>
      <c r="F178" s="64"/>
      <c r="G178" s="75">
        <f t="shared" si="27"/>
        <v>3241.5644660289468</v>
      </c>
      <c r="H178" s="75">
        <f t="shared" si="31"/>
        <v>1160.4444444444443</v>
      </c>
      <c r="I178" s="75">
        <f t="shared" si="28"/>
        <v>2081.1200215845024</v>
      </c>
      <c r="J178" s="75">
        <f t="shared" si="29"/>
        <v>218163.55555555667</v>
      </c>
      <c r="K178" s="69"/>
      <c r="L178" s="75">
        <f t="shared" si="33"/>
        <v>3162.8903115867674</v>
      </c>
      <c r="M178" s="75">
        <f t="shared" si="34"/>
        <v>1153.0681667071062</v>
      </c>
      <c r="N178" s="75">
        <f t="shared" si="35"/>
        <v>2009.8221448796612</v>
      </c>
      <c r="O178" s="75">
        <f t="shared" si="32"/>
        <v>210657.02809481241</v>
      </c>
      <c r="T178" s="74"/>
    </row>
    <row r="179" spans="1:20" s="61" customFormat="1" outlineLevel="1" x14ac:dyDescent="0.25">
      <c r="A179" s="71">
        <v>173</v>
      </c>
      <c r="B179" s="75">
        <f t="shared" si="24"/>
        <v>4100.9182743504407</v>
      </c>
      <c r="C179" s="75">
        <f t="shared" si="30"/>
        <v>694.70233613660105</v>
      </c>
      <c r="D179" s="75">
        <f t="shared" si="25"/>
        <v>3406.2159382138393</v>
      </c>
      <c r="E179" s="75">
        <f t="shared" si="26"/>
        <v>358277.82048069884</v>
      </c>
      <c r="F179" s="64"/>
      <c r="G179" s="75">
        <f t="shared" si="27"/>
        <v>3230.5532489835264</v>
      </c>
      <c r="H179" s="75">
        <f t="shared" si="31"/>
        <v>1160.4444444444443</v>
      </c>
      <c r="I179" s="75">
        <f t="shared" si="28"/>
        <v>2070.108804539082</v>
      </c>
      <c r="J179" s="75">
        <f t="shared" si="29"/>
        <v>217003.11111111223</v>
      </c>
      <c r="K179" s="69"/>
      <c r="L179" s="75">
        <f t="shared" si="33"/>
        <v>3162.8903115867674</v>
      </c>
      <c r="M179" s="75">
        <f t="shared" si="34"/>
        <v>1164.0093917804493</v>
      </c>
      <c r="N179" s="75">
        <f t="shared" si="35"/>
        <v>1998.8809198063182</v>
      </c>
      <c r="O179" s="75">
        <f t="shared" si="32"/>
        <v>209493.01870303196</v>
      </c>
      <c r="T179" s="74"/>
    </row>
    <row r="180" spans="1:20" s="61" customFormat="1" outlineLevel="1" x14ac:dyDescent="0.25">
      <c r="A180" s="71">
        <v>174</v>
      </c>
      <c r="B180" s="75">
        <f t="shared" si="24"/>
        <v>4100.9182743504407</v>
      </c>
      <c r="C180" s="75">
        <f t="shared" si="30"/>
        <v>701.2942227553724</v>
      </c>
      <c r="D180" s="75">
        <f t="shared" si="25"/>
        <v>3399.6240515950681</v>
      </c>
      <c r="E180" s="75">
        <f t="shared" si="26"/>
        <v>357576.52625794348</v>
      </c>
      <c r="F180" s="64"/>
      <c r="G180" s="75">
        <f t="shared" si="27"/>
        <v>3219.5420319381055</v>
      </c>
      <c r="H180" s="75">
        <f t="shared" si="31"/>
        <v>1160.4444444444443</v>
      </c>
      <c r="I180" s="75">
        <f t="shared" si="28"/>
        <v>2059.0975874936612</v>
      </c>
      <c r="J180" s="75">
        <f t="shared" si="29"/>
        <v>215842.66666666779</v>
      </c>
      <c r="K180" s="69"/>
      <c r="L180" s="75">
        <f t="shared" si="33"/>
        <v>3162.8903115867674</v>
      </c>
      <c r="M180" s="75">
        <f t="shared" si="34"/>
        <v>1175.0544358729639</v>
      </c>
      <c r="N180" s="75">
        <f t="shared" si="35"/>
        <v>1987.8358757138035</v>
      </c>
      <c r="O180" s="75">
        <f t="shared" si="32"/>
        <v>208317.964267159</v>
      </c>
      <c r="T180" s="74"/>
    </row>
    <row r="181" spans="1:20" s="61" customFormat="1" outlineLevel="1" x14ac:dyDescent="0.25">
      <c r="A181" s="71">
        <v>175</v>
      </c>
      <c r="B181" s="75">
        <f t="shared" si="24"/>
        <v>4100.9182743504407</v>
      </c>
      <c r="C181" s="75">
        <f t="shared" si="30"/>
        <v>707.94865842131765</v>
      </c>
      <c r="D181" s="75">
        <f t="shared" si="25"/>
        <v>3392.9696159291229</v>
      </c>
      <c r="E181" s="75">
        <f t="shared" si="26"/>
        <v>356868.57759952213</v>
      </c>
      <c r="F181" s="64"/>
      <c r="G181" s="75">
        <f t="shared" si="27"/>
        <v>3208.5308148926852</v>
      </c>
      <c r="H181" s="75">
        <f t="shared" si="31"/>
        <v>1160.4444444444443</v>
      </c>
      <c r="I181" s="75">
        <f t="shared" si="28"/>
        <v>2048.0863704482408</v>
      </c>
      <c r="J181" s="75">
        <f t="shared" si="29"/>
        <v>214682.22222222335</v>
      </c>
      <c r="K181" s="69"/>
      <c r="L181" s="75">
        <f t="shared" si="33"/>
        <v>3162.8903115867674</v>
      </c>
      <c r="M181" s="75">
        <f t="shared" si="34"/>
        <v>1186.2042841018258</v>
      </c>
      <c r="N181" s="75">
        <f t="shared" si="35"/>
        <v>1976.6860274849416</v>
      </c>
      <c r="O181" s="75">
        <f t="shared" si="32"/>
        <v>207131.75998305719</v>
      </c>
      <c r="T181" s="74"/>
    </row>
    <row r="182" spans="1:20" s="61" customFormat="1" outlineLevel="1" x14ac:dyDescent="0.25">
      <c r="A182" s="71">
        <v>176</v>
      </c>
      <c r="B182" s="75">
        <f t="shared" si="24"/>
        <v>4100.9182743504398</v>
      </c>
      <c r="C182" s="75">
        <f t="shared" si="30"/>
        <v>714.66623664939323</v>
      </c>
      <c r="D182" s="75">
        <f t="shared" si="25"/>
        <v>3386.2520377010469</v>
      </c>
      <c r="E182" s="75">
        <f t="shared" si="26"/>
        <v>356153.91136287275</v>
      </c>
      <c r="F182" s="64"/>
      <c r="G182" s="75">
        <f t="shared" si="27"/>
        <v>3197.5195978472648</v>
      </c>
      <c r="H182" s="75">
        <f t="shared" si="31"/>
        <v>1160.4444444444443</v>
      </c>
      <c r="I182" s="75">
        <f t="shared" si="28"/>
        <v>2037.0751534028202</v>
      </c>
      <c r="J182" s="75">
        <f t="shared" si="29"/>
        <v>213521.77777777892</v>
      </c>
      <c r="K182" s="69"/>
      <c r="L182" s="75">
        <f t="shared" si="33"/>
        <v>3162.8903115867674</v>
      </c>
      <c r="M182" s="75">
        <f t="shared" si="34"/>
        <v>1197.4599309317832</v>
      </c>
      <c r="N182" s="75">
        <f t="shared" si="35"/>
        <v>1965.4303806549842</v>
      </c>
      <c r="O182" s="75">
        <f t="shared" si="32"/>
        <v>205934.30005212541</v>
      </c>
      <c r="T182" s="74"/>
    </row>
    <row r="183" spans="1:20" s="61" customFormat="1" outlineLevel="1" x14ac:dyDescent="0.25">
      <c r="A183" s="71">
        <v>177</v>
      </c>
      <c r="B183" s="75">
        <f t="shared" si="24"/>
        <v>4100.9182743504407</v>
      </c>
      <c r="C183" s="75">
        <f t="shared" si="30"/>
        <v>721.44755658629708</v>
      </c>
      <c r="D183" s="75">
        <f t="shared" si="25"/>
        <v>3379.4707177641435</v>
      </c>
      <c r="E183" s="75">
        <f t="shared" si="26"/>
        <v>355432.46380628645</v>
      </c>
      <c r="F183" s="64"/>
      <c r="G183" s="75">
        <f t="shared" si="27"/>
        <v>3186.5083808018444</v>
      </c>
      <c r="H183" s="75">
        <f t="shared" si="31"/>
        <v>1160.4444444444443</v>
      </c>
      <c r="I183" s="75">
        <f t="shared" si="28"/>
        <v>2026.0639363573998</v>
      </c>
      <c r="J183" s="75">
        <f t="shared" si="29"/>
        <v>212361.33333333448</v>
      </c>
      <c r="K183" s="69"/>
      <c r="L183" s="75">
        <f t="shared" si="33"/>
        <v>3162.8903115867674</v>
      </c>
      <c r="M183" s="75">
        <f t="shared" si="34"/>
        <v>1208.8223802638549</v>
      </c>
      <c r="N183" s="75">
        <f t="shared" si="35"/>
        <v>1954.0679313229125</v>
      </c>
      <c r="O183" s="75">
        <f t="shared" si="32"/>
        <v>204725.47767186156</v>
      </c>
      <c r="T183" s="74"/>
    </row>
    <row r="184" spans="1:20" s="61" customFormat="1" outlineLevel="1" x14ac:dyDescent="0.25">
      <c r="A184" s="71">
        <v>178</v>
      </c>
      <c r="B184" s="75">
        <f t="shared" si="24"/>
        <v>4100.9182743504407</v>
      </c>
      <c r="C184" s="75">
        <f t="shared" si="30"/>
        <v>728.29322306390532</v>
      </c>
      <c r="D184" s="75">
        <f t="shared" si="25"/>
        <v>3372.6250512865349</v>
      </c>
      <c r="E184" s="75">
        <f t="shared" si="26"/>
        <v>354704.17058322253</v>
      </c>
      <c r="F184" s="64"/>
      <c r="G184" s="75">
        <f t="shared" si="27"/>
        <v>3175.4971637564236</v>
      </c>
      <c r="H184" s="75">
        <f t="shared" si="31"/>
        <v>1160.4444444444443</v>
      </c>
      <c r="I184" s="75">
        <f t="shared" si="28"/>
        <v>2015.0527193119792</v>
      </c>
      <c r="J184" s="75">
        <f t="shared" si="29"/>
        <v>211200.88888889004</v>
      </c>
      <c r="K184" s="69"/>
      <c r="L184" s="75">
        <f t="shared" si="33"/>
        <v>3162.8903115867674</v>
      </c>
      <c r="M184" s="75">
        <f t="shared" si="34"/>
        <v>1220.2926455248685</v>
      </c>
      <c r="N184" s="75">
        <f t="shared" si="35"/>
        <v>1942.597666061899</v>
      </c>
      <c r="O184" s="75">
        <f t="shared" si="32"/>
        <v>203505.18502633669</v>
      </c>
      <c r="T184" s="74"/>
    </row>
    <row r="185" spans="1:20" s="61" customFormat="1" outlineLevel="1" x14ac:dyDescent="0.25">
      <c r="A185" s="71">
        <v>179</v>
      </c>
      <c r="B185" s="75">
        <f t="shared" si="24"/>
        <v>4100.9182743504398</v>
      </c>
      <c r="C185" s="75">
        <f t="shared" si="30"/>
        <v>735.20384665321876</v>
      </c>
      <c r="D185" s="75">
        <f t="shared" si="25"/>
        <v>3365.7144276972213</v>
      </c>
      <c r="E185" s="75">
        <f t="shared" si="26"/>
        <v>353968.9667365693</v>
      </c>
      <c r="F185" s="64"/>
      <c r="G185" s="75">
        <f t="shared" si="27"/>
        <v>3164.4859467110027</v>
      </c>
      <c r="H185" s="75">
        <f t="shared" si="31"/>
        <v>1160.4444444444443</v>
      </c>
      <c r="I185" s="75">
        <f t="shared" si="28"/>
        <v>2004.0415022665586</v>
      </c>
      <c r="J185" s="75">
        <f t="shared" si="29"/>
        <v>210040.4444444456</v>
      </c>
      <c r="K185" s="69"/>
      <c r="L185" s="75">
        <f t="shared" si="33"/>
        <v>3162.8903115867674</v>
      </c>
      <c r="M185" s="75">
        <f t="shared" si="34"/>
        <v>1231.8717497578484</v>
      </c>
      <c r="N185" s="75">
        <f t="shared" si="35"/>
        <v>1931.018561828919</v>
      </c>
      <c r="O185" s="75">
        <f t="shared" si="32"/>
        <v>202273.31327657885</v>
      </c>
      <c r="T185" s="74"/>
    </row>
    <row r="186" spans="1:20" s="61" customFormat="1" x14ac:dyDescent="0.25">
      <c r="A186" s="69">
        <v>180</v>
      </c>
      <c r="B186" s="73">
        <f t="shared" si="24"/>
        <v>4100.9182743504398</v>
      </c>
      <c r="C186" s="73">
        <f t="shared" si="30"/>
        <v>742.18004371882012</v>
      </c>
      <c r="D186" s="73">
        <f t="shared" si="25"/>
        <v>3358.7382306316199</v>
      </c>
      <c r="E186" s="73">
        <f t="shared" si="26"/>
        <v>353226.78669285047</v>
      </c>
      <c r="F186" s="64"/>
      <c r="G186" s="73">
        <f t="shared" si="27"/>
        <v>3153.4747296655823</v>
      </c>
      <c r="H186" s="73">
        <f t="shared" si="31"/>
        <v>1160.4444444444443</v>
      </c>
      <c r="I186" s="73">
        <f t="shared" si="28"/>
        <v>1993.0302852211382</v>
      </c>
      <c r="J186" s="73">
        <f t="shared" si="29"/>
        <v>208880.00000000116</v>
      </c>
      <c r="K186" s="69"/>
      <c r="L186" s="73">
        <f t="shared" si="33"/>
        <v>3162.8903115867674</v>
      </c>
      <c r="M186" s="73">
        <f t="shared" si="34"/>
        <v>1243.5607257132631</v>
      </c>
      <c r="N186" s="73">
        <f t="shared" si="35"/>
        <v>1919.3295858735044</v>
      </c>
      <c r="O186" s="73">
        <f t="shared" si="32"/>
        <v>201029.75255086558</v>
      </c>
      <c r="T186" s="74"/>
    </row>
    <row r="187" spans="1:20" s="61" customFormat="1" outlineLevel="1" x14ac:dyDescent="0.25">
      <c r="A187" s="71">
        <v>181</v>
      </c>
      <c r="B187" s="75">
        <f>+D187+C187</f>
        <v>4100.9182743504398</v>
      </c>
      <c r="C187" s="75">
        <f>IF(A187&gt;$C$3,0,PPMT($C$2,A187,$C$3,-$F$1))</f>
        <v>749.22243647384801</v>
      </c>
      <c r="D187" s="75">
        <f t="shared" ref="D187" si="36">+E186*$C$2</f>
        <v>3351.6958378765921</v>
      </c>
      <c r="E187" s="75">
        <f t="shared" ref="E187" si="37">+E186-C187</f>
        <v>352477.56425637665</v>
      </c>
      <c r="F187" s="64"/>
      <c r="G187" s="75">
        <f t="shared" ref="G187" si="38">+I187+H187</f>
        <v>3142.463512620162</v>
      </c>
      <c r="H187" s="75">
        <f t="shared" si="31"/>
        <v>1160.4444444444443</v>
      </c>
      <c r="I187" s="75">
        <f t="shared" ref="I187" si="39">+J186*$C$2</f>
        <v>1982.0190681757176</v>
      </c>
      <c r="J187" s="75">
        <f t="shared" ref="J187" si="40">+J186-H187</f>
        <v>207719.55555555673</v>
      </c>
      <c r="K187" s="69"/>
      <c r="L187" s="75">
        <f>+M187+N187</f>
        <v>3024.3616542615509</v>
      </c>
      <c r="M187" s="75">
        <f>IF(O186&lt;0,0,+O186/($C$3-A186))</f>
        <v>1116.8319586159198</v>
      </c>
      <c r="N187" s="75">
        <f t="shared" si="35"/>
        <v>1907.5296956456314</v>
      </c>
      <c r="O187" s="75">
        <f>IF(A187&gt;$C$3,0,+O186-M187)</f>
        <v>199912.92059224966</v>
      </c>
      <c r="T187" s="74"/>
    </row>
    <row r="188" spans="1:20" s="61" customFormat="1" outlineLevel="1" x14ac:dyDescent="0.25">
      <c r="A188" s="71">
        <v>182</v>
      </c>
      <c r="B188" s="75">
        <f t="shared" ref="B188:B189" si="41">+D188+C188</f>
        <v>4100.9182743504407</v>
      </c>
      <c r="C188" s="75">
        <f t="shared" ref="C188:C189" si="42">IF(A188&gt;$C$3,0,PPMT($C$2,A188,$C$3,-$F$1))</f>
        <v>756.33165303549208</v>
      </c>
      <c r="D188" s="75">
        <f t="shared" ref="D188:D189" si="43">+E187*$C$2</f>
        <v>3344.5866213149484</v>
      </c>
      <c r="E188" s="75">
        <f t="shared" ref="E188:E189" si="44">+E187-C188</f>
        <v>351721.23260334117</v>
      </c>
      <c r="F188" s="64"/>
      <c r="G188" s="75">
        <f t="shared" ref="G188:G189" si="45">+I188+H188</f>
        <v>3131.4522955747416</v>
      </c>
      <c r="H188" s="75">
        <f t="shared" si="31"/>
        <v>1160.4444444444443</v>
      </c>
      <c r="I188" s="75">
        <f t="shared" ref="I188:I189" si="46">+J187*$C$2</f>
        <v>1971.007851130297</v>
      </c>
      <c r="J188" s="75">
        <f t="shared" ref="J188:J189" si="47">+J187-H188</f>
        <v>206559.11111111229</v>
      </c>
      <c r="K188" s="69"/>
      <c r="L188" s="75">
        <f t="shared" si="33"/>
        <v>3024.3616542615509</v>
      </c>
      <c r="M188" s="75">
        <f t="shared" si="34"/>
        <v>1127.4293458139509</v>
      </c>
      <c r="N188" s="75">
        <f t="shared" si="35"/>
        <v>1896.9323084476</v>
      </c>
      <c r="O188" s="75">
        <f t="shared" ref="O188:O189" si="48">IF(A188&gt;$C$3,0,+O187-M188)</f>
        <v>198785.4912464357</v>
      </c>
      <c r="T188" s="74"/>
    </row>
    <row r="189" spans="1:20" s="61" customFormat="1" outlineLevel="1" x14ac:dyDescent="0.25">
      <c r="A189" s="71">
        <v>183</v>
      </c>
      <c r="B189" s="75">
        <f t="shared" si="41"/>
        <v>4100.9182743504398</v>
      </c>
      <c r="C189" s="75">
        <f t="shared" si="42"/>
        <v>763.50832748101652</v>
      </c>
      <c r="D189" s="75">
        <f t="shared" si="43"/>
        <v>3337.4099468694235</v>
      </c>
      <c r="E189" s="75">
        <f t="shared" si="44"/>
        <v>350957.72427586018</v>
      </c>
      <c r="F189" s="64"/>
      <c r="G189" s="75">
        <f t="shared" si="45"/>
        <v>3120.4410785293212</v>
      </c>
      <c r="H189" s="75">
        <f t="shared" si="31"/>
        <v>1160.4444444444443</v>
      </c>
      <c r="I189" s="75">
        <f t="shared" si="46"/>
        <v>1959.9966340848766</v>
      </c>
      <c r="J189" s="75">
        <f t="shared" si="47"/>
        <v>205398.66666666785</v>
      </c>
      <c r="K189" s="69"/>
      <c r="L189" s="75">
        <f t="shared" si="33"/>
        <v>3024.3616542615509</v>
      </c>
      <c r="M189" s="75">
        <f t="shared" si="34"/>
        <v>1138.127289424752</v>
      </c>
      <c r="N189" s="75">
        <f t="shared" si="35"/>
        <v>1886.2343648367989</v>
      </c>
      <c r="O189" s="75">
        <f t="shared" si="48"/>
        <v>197647.36395701097</v>
      </c>
      <c r="T189" s="74"/>
    </row>
    <row r="190" spans="1:20" s="61" customFormat="1" outlineLevel="1" x14ac:dyDescent="0.25">
      <c r="A190" s="71">
        <v>184</v>
      </c>
      <c r="B190" s="75">
        <f t="shared" ref="B190:B253" si="49">+D190+C190</f>
        <v>4100.9182743504407</v>
      </c>
      <c r="C190" s="75">
        <f t="shared" ref="C190:C253" si="50">IF(A190&gt;$C$3,0,PPMT($C$2,A190,$C$3,-$F$1))</f>
        <v>770.75309990431379</v>
      </c>
      <c r="D190" s="75">
        <f t="shared" ref="D190:D253" si="51">+E189*$C$2</f>
        <v>3330.1651744461269</v>
      </c>
      <c r="E190" s="75">
        <f t="shared" ref="E190:E253" si="52">+E189-C190</f>
        <v>350186.97117595584</v>
      </c>
      <c r="F190" s="64"/>
      <c r="G190" s="75">
        <f t="shared" ref="G190:G253" si="53">+I190+H190</f>
        <v>3109.4298614839004</v>
      </c>
      <c r="H190" s="75">
        <f t="shared" si="31"/>
        <v>1160.4444444444443</v>
      </c>
      <c r="I190" s="75">
        <f t="shared" ref="I190:I253" si="54">+J189*$C$2</f>
        <v>1948.985417039456</v>
      </c>
      <c r="J190" s="75">
        <f t="shared" ref="J190:J253" si="55">+J189-H190</f>
        <v>204238.22222222341</v>
      </c>
      <c r="K190" s="69"/>
      <c r="L190" s="75">
        <f t="shared" si="33"/>
        <v>3024.3616542615509</v>
      </c>
      <c r="M190" s="75">
        <f t="shared" si="34"/>
        <v>1148.9267436073017</v>
      </c>
      <c r="N190" s="75">
        <f t="shared" si="35"/>
        <v>1875.4349106542493</v>
      </c>
      <c r="O190" s="75">
        <f t="shared" ref="O190:O253" si="56">IF(A190&gt;$C$3,0,+O189-M190)</f>
        <v>196498.43721340367</v>
      </c>
      <c r="T190" s="74"/>
    </row>
    <row r="191" spans="1:20" s="61" customFormat="1" outlineLevel="1" x14ac:dyDescent="0.25">
      <c r="A191" s="71">
        <v>185</v>
      </c>
      <c r="B191" s="75">
        <f t="shared" si="49"/>
        <v>4100.9182743504407</v>
      </c>
      <c r="C191" s="75">
        <f t="shared" si="50"/>
        <v>778.06661647299404</v>
      </c>
      <c r="D191" s="75">
        <f t="shared" si="51"/>
        <v>3322.8516578774465</v>
      </c>
      <c r="E191" s="75">
        <f t="shared" si="52"/>
        <v>349408.90455948282</v>
      </c>
      <c r="F191" s="64"/>
      <c r="G191" s="75">
        <f t="shared" si="53"/>
        <v>3098.4186444384795</v>
      </c>
      <c r="H191" s="75">
        <f t="shared" si="31"/>
        <v>1160.4444444444443</v>
      </c>
      <c r="I191" s="75">
        <f t="shared" si="54"/>
        <v>1937.9741999940354</v>
      </c>
      <c r="J191" s="75">
        <f t="shared" si="55"/>
        <v>203077.77777777897</v>
      </c>
      <c r="K191" s="69"/>
      <c r="L191" s="75">
        <f t="shared" si="33"/>
        <v>3024.3616542615509</v>
      </c>
      <c r="M191" s="75">
        <f t="shared" si="34"/>
        <v>1159.8286715743959</v>
      </c>
      <c r="N191" s="75">
        <f t="shared" si="35"/>
        <v>1864.532982687155</v>
      </c>
      <c r="O191" s="75">
        <f t="shared" si="56"/>
        <v>195338.60854182928</v>
      </c>
      <c r="T191" s="74"/>
    </row>
    <row r="192" spans="1:20" s="61" customFormat="1" outlineLevel="1" x14ac:dyDescent="0.25">
      <c r="A192" s="71">
        <v>186</v>
      </c>
      <c r="B192" s="75">
        <f t="shared" si="49"/>
        <v>4100.9182743504398</v>
      </c>
      <c r="C192" s="75">
        <f t="shared" si="50"/>
        <v>785.4495294860177</v>
      </c>
      <c r="D192" s="75">
        <f t="shared" si="51"/>
        <v>3315.4687448644222</v>
      </c>
      <c r="E192" s="75">
        <f t="shared" si="52"/>
        <v>348623.45502999681</v>
      </c>
      <c r="F192" s="64"/>
      <c r="G192" s="75">
        <f t="shared" si="53"/>
        <v>3087.4074273930592</v>
      </c>
      <c r="H192" s="75">
        <f t="shared" si="31"/>
        <v>1160.4444444444443</v>
      </c>
      <c r="I192" s="75">
        <f t="shared" si="54"/>
        <v>1926.962982948615</v>
      </c>
      <c r="J192" s="75">
        <f t="shared" si="55"/>
        <v>201917.33333333454</v>
      </c>
      <c r="K192" s="69"/>
      <c r="L192" s="75">
        <f t="shared" si="33"/>
        <v>3024.3616542615509</v>
      </c>
      <c r="M192" s="75">
        <f t="shared" si="34"/>
        <v>1170.8340456785579</v>
      </c>
      <c r="N192" s="75">
        <f t="shared" si="35"/>
        <v>1853.527608582993</v>
      </c>
      <c r="O192" s="75">
        <f t="shared" si="56"/>
        <v>194167.77449615073</v>
      </c>
      <c r="T192" s="74"/>
    </row>
    <row r="193" spans="1:20" s="61" customFormat="1" outlineLevel="1" x14ac:dyDescent="0.25">
      <c r="A193" s="71">
        <v>187</v>
      </c>
      <c r="B193" s="75">
        <f t="shared" si="49"/>
        <v>4100.9182743504407</v>
      </c>
      <c r="C193" s="75">
        <f t="shared" si="50"/>
        <v>792.90249743187633</v>
      </c>
      <c r="D193" s="75">
        <f t="shared" si="51"/>
        <v>3308.0157769185639</v>
      </c>
      <c r="E193" s="75">
        <f t="shared" si="52"/>
        <v>347830.55253256491</v>
      </c>
      <c r="F193" s="64"/>
      <c r="G193" s="75">
        <f t="shared" si="53"/>
        <v>3076.3962103476388</v>
      </c>
      <c r="H193" s="75">
        <f t="shared" si="31"/>
        <v>1160.4444444444443</v>
      </c>
      <c r="I193" s="75">
        <f t="shared" si="54"/>
        <v>1915.9517659031944</v>
      </c>
      <c r="J193" s="75">
        <f t="shared" si="55"/>
        <v>200756.8888888901</v>
      </c>
      <c r="K193" s="69"/>
      <c r="L193" s="75">
        <f t="shared" si="33"/>
        <v>3024.3616542615509</v>
      </c>
      <c r="M193" s="75">
        <f t="shared" si="34"/>
        <v>1181.9438474987619</v>
      </c>
      <c r="N193" s="75">
        <f t="shared" si="35"/>
        <v>1842.417806762789</v>
      </c>
      <c r="O193" s="75">
        <f t="shared" si="56"/>
        <v>192985.83064865196</v>
      </c>
      <c r="T193" s="74"/>
    </row>
    <row r="194" spans="1:20" s="61" customFormat="1" outlineLevel="1" x14ac:dyDescent="0.25">
      <c r="A194" s="71">
        <v>188</v>
      </c>
      <c r="B194" s="75">
        <f t="shared" si="49"/>
        <v>4100.9182743504407</v>
      </c>
      <c r="C194" s="75">
        <f t="shared" si="50"/>
        <v>800.42618504732127</v>
      </c>
      <c r="D194" s="75">
        <f t="shared" si="51"/>
        <v>3300.492089303119</v>
      </c>
      <c r="E194" s="75">
        <f t="shared" si="52"/>
        <v>347030.12634751759</v>
      </c>
      <c r="F194" s="64"/>
      <c r="G194" s="75">
        <f t="shared" si="53"/>
        <v>3065.3849933022184</v>
      </c>
      <c r="H194" s="75">
        <f t="shared" si="31"/>
        <v>1160.4444444444443</v>
      </c>
      <c r="I194" s="75">
        <f t="shared" si="54"/>
        <v>1904.9405488577738</v>
      </c>
      <c r="J194" s="75">
        <f t="shared" si="55"/>
        <v>199596.44444444566</v>
      </c>
      <c r="K194" s="69"/>
      <c r="L194" s="75">
        <f t="shared" si="33"/>
        <v>3024.3616542615509</v>
      </c>
      <c r="M194" s="75">
        <f t="shared" si="34"/>
        <v>1193.1590679279821</v>
      </c>
      <c r="N194" s="75">
        <f t="shared" si="35"/>
        <v>1831.2025863335689</v>
      </c>
      <c r="O194" s="75">
        <f t="shared" si="56"/>
        <v>191792.67158072398</v>
      </c>
      <c r="T194" s="74"/>
    </row>
    <row r="195" spans="1:20" s="61" customFormat="1" outlineLevel="1" x14ac:dyDescent="0.25">
      <c r="A195" s="71">
        <v>189</v>
      </c>
      <c r="B195" s="75">
        <f t="shared" si="49"/>
        <v>4100.9182743504398</v>
      </c>
      <c r="C195" s="75">
        <f t="shared" si="50"/>
        <v>808.02126337665345</v>
      </c>
      <c r="D195" s="75">
        <f t="shared" si="51"/>
        <v>3292.8970109737866</v>
      </c>
      <c r="E195" s="75">
        <f t="shared" si="52"/>
        <v>346222.10508414096</v>
      </c>
      <c r="F195" s="64"/>
      <c r="G195" s="75">
        <f t="shared" si="53"/>
        <v>3054.373776256798</v>
      </c>
      <c r="H195" s="75">
        <f t="shared" si="31"/>
        <v>1160.4444444444443</v>
      </c>
      <c r="I195" s="75">
        <f t="shared" si="54"/>
        <v>1893.9293318123534</v>
      </c>
      <c r="J195" s="75">
        <f t="shared" si="55"/>
        <v>198436.00000000122</v>
      </c>
      <c r="K195" s="69"/>
      <c r="L195" s="75">
        <f t="shared" si="33"/>
        <v>3024.3616542615509</v>
      </c>
      <c r="M195" s="75">
        <f t="shared" si="34"/>
        <v>1204.4807072615706</v>
      </c>
      <c r="N195" s="75">
        <f t="shared" si="35"/>
        <v>1819.8809469999803</v>
      </c>
      <c r="O195" s="75">
        <f t="shared" si="56"/>
        <v>190588.19087346242</v>
      </c>
      <c r="T195" s="74"/>
    </row>
    <row r="196" spans="1:20" s="61" customFormat="1" outlineLevel="1" x14ac:dyDescent="0.25">
      <c r="A196" s="71">
        <v>190</v>
      </c>
      <c r="B196" s="75">
        <f t="shared" si="49"/>
        <v>4100.9182743504407</v>
      </c>
      <c r="C196" s="75">
        <f t="shared" si="50"/>
        <v>815.68840983157463</v>
      </c>
      <c r="D196" s="75">
        <f t="shared" si="51"/>
        <v>3285.2298645188657</v>
      </c>
      <c r="E196" s="75">
        <f t="shared" si="52"/>
        <v>345406.41667430941</v>
      </c>
      <c r="F196" s="64"/>
      <c r="G196" s="75">
        <f t="shared" si="53"/>
        <v>3043.3625592113772</v>
      </c>
      <c r="H196" s="75">
        <f t="shared" si="31"/>
        <v>1160.4444444444443</v>
      </c>
      <c r="I196" s="75">
        <f t="shared" si="54"/>
        <v>1882.9181147669328</v>
      </c>
      <c r="J196" s="75">
        <f t="shared" si="55"/>
        <v>197275.55555555678</v>
      </c>
      <c r="K196" s="69"/>
      <c r="L196" s="75">
        <f t="shared" si="33"/>
        <v>3024.3616542615509</v>
      </c>
      <c r="M196" s="75">
        <f t="shared" si="34"/>
        <v>1215.9097752864759</v>
      </c>
      <c r="N196" s="75">
        <f t="shared" si="35"/>
        <v>1808.451878975075</v>
      </c>
      <c r="O196" s="75">
        <f t="shared" si="56"/>
        <v>189372.28109817594</v>
      </c>
      <c r="T196" s="74"/>
    </row>
    <row r="197" spans="1:20" s="61" customFormat="1" outlineLevel="1" x14ac:dyDescent="0.25">
      <c r="A197" s="71">
        <v>191</v>
      </c>
      <c r="B197" s="75">
        <f t="shared" si="49"/>
        <v>4100.9182743504407</v>
      </c>
      <c r="C197" s="75">
        <f t="shared" si="50"/>
        <v>823.42830825160581</v>
      </c>
      <c r="D197" s="75">
        <f t="shared" si="51"/>
        <v>3277.4899660988344</v>
      </c>
      <c r="E197" s="75">
        <f t="shared" si="52"/>
        <v>344582.98836605781</v>
      </c>
      <c r="F197" s="64"/>
      <c r="G197" s="75">
        <f t="shared" si="53"/>
        <v>3032.3513421659563</v>
      </c>
      <c r="H197" s="75">
        <f t="shared" si="31"/>
        <v>1160.4444444444443</v>
      </c>
      <c r="I197" s="75">
        <f t="shared" si="54"/>
        <v>1871.9068977215122</v>
      </c>
      <c r="J197" s="75">
        <f t="shared" si="55"/>
        <v>196115.11111111235</v>
      </c>
      <c r="K197" s="69"/>
      <c r="L197" s="75">
        <f t="shared" si="33"/>
        <v>3024.3616542615509</v>
      </c>
      <c r="M197" s="75">
        <f t="shared" si="34"/>
        <v>1227.4472913713046</v>
      </c>
      <c r="N197" s="75">
        <f t="shared" si="35"/>
        <v>1796.9143628902464</v>
      </c>
      <c r="O197" s="75">
        <f t="shared" si="56"/>
        <v>188144.83380680464</v>
      </c>
      <c r="T197" s="74"/>
    </row>
    <row r="198" spans="1:20" s="61" customFormat="1" x14ac:dyDescent="0.25">
      <c r="A198" s="69">
        <v>192</v>
      </c>
      <c r="B198" s="73">
        <f t="shared" si="49"/>
        <v>4100.9182743504407</v>
      </c>
      <c r="C198" s="73">
        <f t="shared" si="50"/>
        <v>831.24164896507932</v>
      </c>
      <c r="D198" s="73">
        <f t="shared" si="51"/>
        <v>3269.6766253853611</v>
      </c>
      <c r="E198" s="73">
        <f t="shared" si="52"/>
        <v>343751.7467170927</v>
      </c>
      <c r="F198" s="64"/>
      <c r="G198" s="73">
        <f t="shared" si="53"/>
        <v>3021.340125120536</v>
      </c>
      <c r="H198" s="73">
        <f t="shared" si="31"/>
        <v>1160.4444444444443</v>
      </c>
      <c r="I198" s="73">
        <f t="shared" si="54"/>
        <v>1860.8956806760918</v>
      </c>
      <c r="J198" s="73">
        <f t="shared" si="55"/>
        <v>194954.66666666791</v>
      </c>
      <c r="K198" s="69"/>
      <c r="L198" s="73">
        <f t="shared" si="33"/>
        <v>3024.3616542615509</v>
      </c>
      <c r="M198" s="73">
        <f t="shared" si="34"/>
        <v>1239.0942845572417</v>
      </c>
      <c r="N198" s="73">
        <f t="shared" si="35"/>
        <v>1785.2673697043092</v>
      </c>
      <c r="O198" s="73">
        <f t="shared" si="56"/>
        <v>186905.7395222474</v>
      </c>
      <c r="T198" s="74"/>
    </row>
    <row r="199" spans="1:20" s="61" customFormat="1" outlineLevel="1" x14ac:dyDescent="0.25">
      <c r="A199" s="71">
        <v>193</v>
      </c>
      <c r="B199" s="75">
        <f t="shared" si="49"/>
        <v>4100.9182743504398</v>
      </c>
      <c r="C199" s="75">
        <f t="shared" si="50"/>
        <v>839.12912885071034</v>
      </c>
      <c r="D199" s="75">
        <f t="shared" si="51"/>
        <v>3261.7891454997298</v>
      </c>
      <c r="E199" s="75">
        <f t="shared" si="52"/>
        <v>342912.61758824199</v>
      </c>
      <c r="F199" s="64"/>
      <c r="G199" s="75">
        <f t="shared" si="53"/>
        <v>3010.3289080751156</v>
      </c>
      <c r="H199" s="75">
        <f t="shared" si="31"/>
        <v>1160.4444444444443</v>
      </c>
      <c r="I199" s="75">
        <f t="shared" si="54"/>
        <v>1849.8844636306712</v>
      </c>
      <c r="J199" s="75">
        <f t="shared" si="55"/>
        <v>193794.22222222347</v>
      </c>
      <c r="K199" s="69"/>
      <c r="L199" s="75">
        <f>+M199+N199</f>
        <v>2886.0440244346219</v>
      </c>
      <c r="M199" s="75">
        <f>IF(O198&lt;0,0,+O198/($C$3-A198))</f>
        <v>1112.5341638229013</v>
      </c>
      <c r="N199" s="75">
        <f t="shared" si="35"/>
        <v>1773.5098606117203</v>
      </c>
      <c r="O199" s="75">
        <f t="shared" si="56"/>
        <v>185793.20535842449</v>
      </c>
      <c r="T199" s="74"/>
    </row>
    <row r="200" spans="1:20" s="61" customFormat="1" outlineLevel="1" x14ac:dyDescent="0.25">
      <c r="A200" s="71">
        <v>194</v>
      </c>
      <c r="B200" s="75">
        <f t="shared" si="49"/>
        <v>4100.9182743504398</v>
      </c>
      <c r="C200" s="75">
        <f t="shared" si="50"/>
        <v>847.09145139975158</v>
      </c>
      <c r="D200" s="75">
        <f t="shared" si="51"/>
        <v>3253.8268229506884</v>
      </c>
      <c r="E200" s="75">
        <f t="shared" si="52"/>
        <v>342065.52613684227</v>
      </c>
      <c r="F200" s="64"/>
      <c r="G200" s="75">
        <f t="shared" si="53"/>
        <v>2999.3176910296952</v>
      </c>
      <c r="H200" s="75">
        <f t="shared" ref="H200:H263" si="57">IF(A200&gt;$C$3,0,+$F$2/$C$3)</f>
        <v>1160.4444444444443</v>
      </c>
      <c r="I200" s="75">
        <f t="shared" si="54"/>
        <v>1838.8732465852506</v>
      </c>
      <c r="J200" s="75">
        <f t="shared" si="55"/>
        <v>192633.77777777903</v>
      </c>
      <c r="K200" s="69"/>
      <c r="L200" s="75">
        <f t="shared" si="33"/>
        <v>2886.0440244346219</v>
      </c>
      <c r="M200" s="75">
        <f t="shared" si="34"/>
        <v>1123.0907701360668</v>
      </c>
      <c r="N200" s="75">
        <f t="shared" si="35"/>
        <v>1762.9532542985551</v>
      </c>
      <c r="O200" s="75">
        <f t="shared" si="56"/>
        <v>184670.11458828842</v>
      </c>
      <c r="T200" s="74"/>
    </row>
    <row r="201" spans="1:20" s="61" customFormat="1" outlineLevel="1" x14ac:dyDescent="0.25">
      <c r="A201" s="71">
        <v>195</v>
      </c>
      <c r="B201" s="75">
        <f t="shared" si="49"/>
        <v>4100.9182743504407</v>
      </c>
      <c r="C201" s="75">
        <f t="shared" si="50"/>
        <v>855.1293267787396</v>
      </c>
      <c r="D201" s="75">
        <f t="shared" si="51"/>
        <v>3245.7889475717011</v>
      </c>
      <c r="E201" s="75">
        <f t="shared" si="52"/>
        <v>341210.39681006351</v>
      </c>
      <c r="F201" s="64"/>
      <c r="G201" s="75">
        <f t="shared" si="53"/>
        <v>2988.3064739842748</v>
      </c>
      <c r="H201" s="75">
        <f t="shared" si="57"/>
        <v>1160.4444444444443</v>
      </c>
      <c r="I201" s="75">
        <f t="shared" si="54"/>
        <v>1827.8620295398302</v>
      </c>
      <c r="J201" s="75">
        <f t="shared" si="55"/>
        <v>191473.33333333459</v>
      </c>
      <c r="K201" s="69"/>
      <c r="L201" s="75">
        <f t="shared" ref="L201:L264" si="58">+L200</f>
        <v>2886.0440244346219</v>
      </c>
      <c r="M201" s="75">
        <f t="shared" ref="M201:M264" si="59">+L201-N201</f>
        <v>1133.7475459006293</v>
      </c>
      <c r="N201" s="75">
        <f t="shared" ref="N201:N264" si="60">IF(A201&gt;$C$3,0,+O200*($C$2))</f>
        <v>1752.2964785339925</v>
      </c>
      <c r="O201" s="75">
        <f t="shared" si="56"/>
        <v>183536.36704238778</v>
      </c>
      <c r="T201" s="74"/>
    </row>
    <row r="202" spans="1:20" s="61" customFormat="1" outlineLevel="1" x14ac:dyDescent="0.25">
      <c r="A202" s="71">
        <v>196</v>
      </c>
      <c r="B202" s="75">
        <f t="shared" si="49"/>
        <v>4100.9182743504407</v>
      </c>
      <c r="C202" s="75">
        <f t="shared" si="50"/>
        <v>863.2434718928323</v>
      </c>
      <c r="D202" s="75">
        <f t="shared" si="51"/>
        <v>3237.6748024576082</v>
      </c>
      <c r="E202" s="75">
        <f t="shared" si="52"/>
        <v>340347.15333817067</v>
      </c>
      <c r="F202" s="64"/>
      <c r="G202" s="75">
        <f t="shared" si="53"/>
        <v>2977.295256938854</v>
      </c>
      <c r="H202" s="75">
        <f t="shared" si="57"/>
        <v>1160.4444444444443</v>
      </c>
      <c r="I202" s="75">
        <f t="shared" si="54"/>
        <v>1816.8508124944096</v>
      </c>
      <c r="J202" s="75">
        <f t="shared" si="55"/>
        <v>190312.88888889016</v>
      </c>
      <c r="K202" s="69"/>
      <c r="L202" s="75">
        <f t="shared" si="58"/>
        <v>2886.0440244346219</v>
      </c>
      <c r="M202" s="75">
        <f t="shared" si="59"/>
        <v>1144.5054416037722</v>
      </c>
      <c r="N202" s="75">
        <f t="shared" si="60"/>
        <v>1741.5385828308497</v>
      </c>
      <c r="O202" s="75">
        <f t="shared" si="56"/>
        <v>182391.861600784</v>
      </c>
      <c r="T202" s="74"/>
    </row>
    <row r="203" spans="1:20" s="61" customFormat="1" outlineLevel="1" x14ac:dyDescent="0.25">
      <c r="A203" s="71">
        <v>197</v>
      </c>
      <c r="B203" s="75">
        <f t="shared" si="49"/>
        <v>4100.9182743504398</v>
      </c>
      <c r="C203" s="75">
        <f t="shared" si="50"/>
        <v>871.4346104497539</v>
      </c>
      <c r="D203" s="75">
        <f t="shared" si="51"/>
        <v>3229.4836639006862</v>
      </c>
      <c r="E203" s="75">
        <f t="shared" si="52"/>
        <v>339475.7187277209</v>
      </c>
      <c r="F203" s="64"/>
      <c r="G203" s="75">
        <f t="shared" si="53"/>
        <v>2966.2840398934336</v>
      </c>
      <c r="H203" s="75">
        <f t="shared" si="57"/>
        <v>1160.4444444444443</v>
      </c>
      <c r="I203" s="75">
        <f t="shared" si="54"/>
        <v>1805.8395954489893</v>
      </c>
      <c r="J203" s="75">
        <f t="shared" si="55"/>
        <v>189152.44444444572</v>
      </c>
      <c r="K203" s="69"/>
      <c r="L203" s="75">
        <f t="shared" si="58"/>
        <v>2886.0440244346219</v>
      </c>
      <c r="M203" s="75">
        <f t="shared" si="59"/>
        <v>1155.3654167516538</v>
      </c>
      <c r="N203" s="75">
        <f t="shared" si="60"/>
        <v>1730.678607682968</v>
      </c>
      <c r="O203" s="75">
        <f t="shared" si="56"/>
        <v>181236.49618403235</v>
      </c>
      <c r="T203" s="74"/>
    </row>
    <row r="204" spans="1:20" s="61" customFormat="1" outlineLevel="1" x14ac:dyDescent="0.25">
      <c r="A204" s="71">
        <v>198</v>
      </c>
      <c r="B204" s="75">
        <f t="shared" si="49"/>
        <v>4100.9182743504398</v>
      </c>
      <c r="C204" s="75">
        <f t="shared" si="50"/>
        <v>879.70347302434072</v>
      </c>
      <c r="D204" s="75">
        <f t="shared" si="51"/>
        <v>3221.2148013260994</v>
      </c>
      <c r="E204" s="75">
        <f t="shared" si="52"/>
        <v>338596.01525469654</v>
      </c>
      <c r="F204" s="64"/>
      <c r="G204" s="75">
        <f t="shared" si="53"/>
        <v>2955.2728228480128</v>
      </c>
      <c r="H204" s="75">
        <f t="shared" si="57"/>
        <v>1160.4444444444443</v>
      </c>
      <c r="I204" s="75">
        <f t="shared" si="54"/>
        <v>1794.8283784035686</v>
      </c>
      <c r="J204" s="75">
        <f t="shared" si="55"/>
        <v>187992.00000000128</v>
      </c>
      <c r="K204" s="69"/>
      <c r="L204" s="75">
        <f t="shared" si="58"/>
        <v>2886.0440244346219</v>
      </c>
      <c r="M204" s="75">
        <f t="shared" si="59"/>
        <v>1166.3284399549887</v>
      </c>
      <c r="N204" s="75">
        <f t="shared" si="60"/>
        <v>1719.7155844796332</v>
      </c>
      <c r="O204" s="75">
        <f t="shared" si="56"/>
        <v>180070.16774407736</v>
      </c>
      <c r="T204" s="74"/>
    </row>
    <row r="205" spans="1:20" s="61" customFormat="1" outlineLevel="1" x14ac:dyDescent="0.25">
      <c r="A205" s="71">
        <v>199</v>
      </c>
      <c r="B205" s="75">
        <f t="shared" si="49"/>
        <v>4100.9182743504398</v>
      </c>
      <c r="C205" s="75">
        <f t="shared" si="50"/>
        <v>888.05079712370218</v>
      </c>
      <c r="D205" s="75">
        <f t="shared" si="51"/>
        <v>3212.8674772267377</v>
      </c>
      <c r="E205" s="75">
        <f t="shared" si="52"/>
        <v>337707.96445757285</v>
      </c>
      <c r="F205" s="64"/>
      <c r="G205" s="75">
        <f t="shared" si="53"/>
        <v>2944.2616058025924</v>
      </c>
      <c r="H205" s="75">
        <f t="shared" si="57"/>
        <v>1160.4444444444443</v>
      </c>
      <c r="I205" s="75">
        <f t="shared" si="54"/>
        <v>1783.817161358148</v>
      </c>
      <c r="J205" s="75">
        <f t="shared" si="55"/>
        <v>186831.55555555684</v>
      </c>
      <c r="K205" s="69"/>
      <c r="L205" s="75">
        <f t="shared" si="58"/>
        <v>2886.0440244346219</v>
      </c>
      <c r="M205" s="75">
        <f t="shared" si="59"/>
        <v>1177.3954890154366</v>
      </c>
      <c r="N205" s="75">
        <f t="shared" si="60"/>
        <v>1708.6485354191852</v>
      </c>
      <c r="O205" s="75">
        <f t="shared" si="56"/>
        <v>178892.77225506192</v>
      </c>
      <c r="T205" s="74"/>
    </row>
    <row r="206" spans="1:20" s="61" customFormat="1" outlineLevel="1" x14ac:dyDescent="0.25">
      <c r="A206" s="71">
        <v>200</v>
      </c>
      <c r="B206" s="75">
        <f t="shared" si="49"/>
        <v>4100.9182743504398</v>
      </c>
      <c r="C206" s="75">
        <f t="shared" si="50"/>
        <v>896.47732725300034</v>
      </c>
      <c r="D206" s="75">
        <f t="shared" si="51"/>
        <v>3204.4409470974397</v>
      </c>
      <c r="E206" s="75">
        <f t="shared" si="52"/>
        <v>336811.48713031982</v>
      </c>
      <c r="F206" s="64"/>
      <c r="G206" s="75">
        <f t="shared" si="53"/>
        <v>2933.250388757172</v>
      </c>
      <c r="H206" s="75">
        <f t="shared" si="57"/>
        <v>1160.4444444444443</v>
      </c>
      <c r="I206" s="75">
        <f t="shared" si="54"/>
        <v>1772.8059443127277</v>
      </c>
      <c r="J206" s="75">
        <f t="shared" si="55"/>
        <v>185671.1111111124</v>
      </c>
      <c r="K206" s="69"/>
      <c r="L206" s="75">
        <f t="shared" si="58"/>
        <v>2886.0440244346219</v>
      </c>
      <c r="M206" s="75">
        <f t="shared" si="59"/>
        <v>1188.5675510128165</v>
      </c>
      <c r="N206" s="75">
        <f t="shared" si="60"/>
        <v>1697.4764734218054</v>
      </c>
      <c r="O206" s="75">
        <f t="shared" si="56"/>
        <v>177704.2047040491</v>
      </c>
      <c r="T206" s="74"/>
    </row>
    <row r="207" spans="1:20" s="61" customFormat="1" outlineLevel="1" x14ac:dyDescent="0.25">
      <c r="A207" s="71">
        <v>201</v>
      </c>
      <c r="B207" s="75">
        <f t="shared" si="49"/>
        <v>4100.9182743504398</v>
      </c>
      <c r="C207" s="75">
        <f t="shared" si="50"/>
        <v>904.98381498185256</v>
      </c>
      <c r="D207" s="75">
        <f t="shared" si="51"/>
        <v>3195.9344593685869</v>
      </c>
      <c r="E207" s="75">
        <f t="shared" si="52"/>
        <v>335906.50331533799</v>
      </c>
      <c r="F207" s="64"/>
      <c r="G207" s="75">
        <f t="shared" si="53"/>
        <v>2922.2391717117516</v>
      </c>
      <c r="H207" s="75">
        <f t="shared" si="57"/>
        <v>1160.4444444444443</v>
      </c>
      <c r="I207" s="75">
        <f t="shared" si="54"/>
        <v>1761.7947272673071</v>
      </c>
      <c r="J207" s="75">
        <f t="shared" si="55"/>
        <v>184510.66666666797</v>
      </c>
      <c r="K207" s="69"/>
      <c r="L207" s="75">
        <f t="shared" si="58"/>
        <v>2886.0440244346219</v>
      </c>
      <c r="M207" s="75">
        <f t="shared" si="59"/>
        <v>1199.8456223931414</v>
      </c>
      <c r="N207" s="75">
        <f t="shared" si="60"/>
        <v>1686.1984020414804</v>
      </c>
      <c r="O207" s="75">
        <f t="shared" si="56"/>
        <v>176504.35908165597</v>
      </c>
      <c r="T207" s="74"/>
    </row>
    <row r="208" spans="1:20" s="61" customFormat="1" outlineLevel="1" x14ac:dyDescent="0.25">
      <c r="A208" s="71">
        <v>202</v>
      </c>
      <c r="B208" s="75">
        <f t="shared" si="49"/>
        <v>4100.9182743504398</v>
      </c>
      <c r="C208" s="75">
        <f t="shared" si="50"/>
        <v>913.57101901136446</v>
      </c>
      <c r="D208" s="75">
        <f t="shared" si="51"/>
        <v>3187.3472553390757</v>
      </c>
      <c r="E208" s="75">
        <f t="shared" si="52"/>
        <v>334992.93229632662</v>
      </c>
      <c r="F208" s="64"/>
      <c r="G208" s="75">
        <f t="shared" si="53"/>
        <v>2911.2279546663308</v>
      </c>
      <c r="H208" s="75">
        <f t="shared" si="57"/>
        <v>1160.4444444444443</v>
      </c>
      <c r="I208" s="75">
        <f t="shared" si="54"/>
        <v>1750.7835102218864</v>
      </c>
      <c r="J208" s="75">
        <f t="shared" si="55"/>
        <v>183350.22222222353</v>
      </c>
      <c r="K208" s="69"/>
      <c r="L208" s="75">
        <f t="shared" si="58"/>
        <v>2886.0440244346219</v>
      </c>
      <c r="M208" s="75">
        <f t="shared" si="59"/>
        <v>1211.2307090574959</v>
      </c>
      <c r="N208" s="75">
        <f t="shared" si="60"/>
        <v>1674.8133153771259</v>
      </c>
      <c r="O208" s="75">
        <f t="shared" si="56"/>
        <v>175293.12837259847</v>
      </c>
      <c r="T208" s="74"/>
    </row>
    <row r="209" spans="1:20" s="61" customFormat="1" outlineLevel="1" x14ac:dyDescent="0.25">
      <c r="A209" s="71">
        <v>203</v>
      </c>
      <c r="B209" s="75">
        <f t="shared" si="49"/>
        <v>4100.9182743504398</v>
      </c>
      <c r="C209" s="75">
        <f t="shared" si="50"/>
        <v>922.23970524179936</v>
      </c>
      <c r="D209" s="75">
        <f t="shared" si="51"/>
        <v>3178.6785691086407</v>
      </c>
      <c r="E209" s="75">
        <f t="shared" si="52"/>
        <v>334070.69259108481</v>
      </c>
      <c r="F209" s="64"/>
      <c r="G209" s="75">
        <f t="shared" si="53"/>
        <v>2900.2167376209104</v>
      </c>
      <c r="H209" s="75">
        <f t="shared" si="57"/>
        <v>1160.4444444444443</v>
      </c>
      <c r="I209" s="75">
        <f t="shared" si="54"/>
        <v>1739.7722931764661</v>
      </c>
      <c r="J209" s="75">
        <f t="shared" si="55"/>
        <v>182189.77777777909</v>
      </c>
      <c r="K209" s="69"/>
      <c r="L209" s="75">
        <f t="shared" si="58"/>
        <v>2886.0440244346219</v>
      </c>
      <c r="M209" s="75">
        <f t="shared" si="59"/>
        <v>1222.7238264517507</v>
      </c>
      <c r="N209" s="75">
        <f t="shared" si="60"/>
        <v>1663.3201979828712</v>
      </c>
      <c r="O209" s="75">
        <f t="shared" si="56"/>
        <v>174070.40454614672</v>
      </c>
      <c r="T209" s="74"/>
    </row>
    <row r="210" spans="1:20" s="61" customFormat="1" x14ac:dyDescent="0.25">
      <c r="A210" s="69">
        <v>204</v>
      </c>
      <c r="B210" s="73">
        <f t="shared" si="49"/>
        <v>4100.9182743504398</v>
      </c>
      <c r="C210" s="73">
        <f t="shared" si="50"/>
        <v>930.99064684088967</v>
      </c>
      <c r="D210" s="73">
        <f t="shared" si="51"/>
        <v>3169.9276275095503</v>
      </c>
      <c r="E210" s="73">
        <f t="shared" si="52"/>
        <v>333139.70194424392</v>
      </c>
      <c r="F210" s="64"/>
      <c r="G210" s="73">
        <f t="shared" si="53"/>
        <v>2889.2055205754896</v>
      </c>
      <c r="H210" s="73">
        <f t="shared" si="57"/>
        <v>1160.4444444444443</v>
      </c>
      <c r="I210" s="73">
        <f t="shared" si="54"/>
        <v>1728.7610761310455</v>
      </c>
      <c r="J210" s="73">
        <f t="shared" si="55"/>
        <v>181029.33333333465</v>
      </c>
      <c r="K210" s="69"/>
      <c r="L210" s="73">
        <f t="shared" si="58"/>
        <v>2886.0440244346219</v>
      </c>
      <c r="M210" s="73">
        <f t="shared" si="59"/>
        <v>1234.3259996571323</v>
      </c>
      <c r="N210" s="73">
        <f t="shared" si="60"/>
        <v>1651.7180247774895</v>
      </c>
      <c r="O210" s="73">
        <f t="shared" si="56"/>
        <v>172836.07854648959</v>
      </c>
      <c r="T210" s="74"/>
    </row>
    <row r="211" spans="1:20" s="61" customFormat="1" outlineLevel="1" x14ac:dyDescent="0.25">
      <c r="A211" s="71">
        <v>205</v>
      </c>
      <c r="B211" s="75">
        <f t="shared" si="49"/>
        <v>4100.9182743504398</v>
      </c>
      <c r="C211" s="75">
        <f t="shared" si="50"/>
        <v>939.82462431279646</v>
      </c>
      <c r="D211" s="75">
        <f t="shared" si="51"/>
        <v>3161.0936500376433</v>
      </c>
      <c r="E211" s="75">
        <f t="shared" si="52"/>
        <v>332199.87731993111</v>
      </c>
      <c r="F211" s="64"/>
      <c r="G211" s="75">
        <f t="shared" si="53"/>
        <v>2878.1943035300692</v>
      </c>
      <c r="H211" s="75">
        <f t="shared" si="57"/>
        <v>1160.4444444444443</v>
      </c>
      <c r="I211" s="75">
        <f t="shared" si="54"/>
        <v>1717.7498590856248</v>
      </c>
      <c r="J211" s="75">
        <f t="shared" si="55"/>
        <v>179868.88888889021</v>
      </c>
      <c r="K211" s="69"/>
      <c r="L211" s="75">
        <f>+M211+N211</f>
        <v>2747.9293413791861</v>
      </c>
      <c r="M211" s="75">
        <f>IF(O210&lt;0,0,+O210/($C$3-A210))</f>
        <v>1107.9235804262153</v>
      </c>
      <c r="N211" s="75">
        <f t="shared" si="60"/>
        <v>1640.0057609529708</v>
      </c>
      <c r="O211" s="75">
        <f t="shared" si="56"/>
        <v>171728.15496606336</v>
      </c>
      <c r="T211" s="74"/>
    </row>
    <row r="212" spans="1:20" s="61" customFormat="1" outlineLevel="1" x14ac:dyDescent="0.25">
      <c r="A212" s="71">
        <v>206</v>
      </c>
      <c r="B212" s="75">
        <f t="shared" si="49"/>
        <v>4100.9182743504398</v>
      </c>
      <c r="C212" s="75">
        <f t="shared" si="50"/>
        <v>948.74242556772276</v>
      </c>
      <c r="D212" s="75">
        <f t="shared" si="51"/>
        <v>3152.1758487827169</v>
      </c>
      <c r="E212" s="75">
        <f t="shared" si="52"/>
        <v>331251.13489436341</v>
      </c>
      <c r="F212" s="64"/>
      <c r="G212" s="75">
        <f t="shared" si="53"/>
        <v>2867.1830864846488</v>
      </c>
      <c r="H212" s="75">
        <f t="shared" si="57"/>
        <v>1160.4444444444443</v>
      </c>
      <c r="I212" s="75">
        <f t="shared" si="54"/>
        <v>1706.7386420402045</v>
      </c>
      <c r="J212" s="75">
        <f t="shared" si="55"/>
        <v>178708.44444444578</v>
      </c>
      <c r="K212" s="69"/>
      <c r="L212" s="75">
        <f t="shared" si="58"/>
        <v>2747.9293413791861</v>
      </c>
      <c r="M212" s="75">
        <f t="shared" si="59"/>
        <v>1118.4364378682217</v>
      </c>
      <c r="N212" s="75">
        <f t="shared" si="60"/>
        <v>1629.4929035109644</v>
      </c>
      <c r="O212" s="75">
        <f t="shared" si="56"/>
        <v>170609.71852819514</v>
      </c>
      <c r="T212" s="74"/>
    </row>
    <row r="213" spans="1:20" s="61" customFormat="1" outlineLevel="1" x14ac:dyDescent="0.25">
      <c r="A213" s="71">
        <v>207</v>
      </c>
      <c r="B213" s="75">
        <f t="shared" si="49"/>
        <v>4100.9182743504398</v>
      </c>
      <c r="C213" s="75">
        <f t="shared" si="50"/>
        <v>957.74484599218886</v>
      </c>
      <c r="D213" s="75">
        <f t="shared" si="51"/>
        <v>3143.1734283582509</v>
      </c>
      <c r="E213" s="75">
        <f t="shared" si="52"/>
        <v>330293.39004837122</v>
      </c>
      <c r="F213" s="64"/>
      <c r="G213" s="75">
        <f t="shared" si="53"/>
        <v>2856.1718694392284</v>
      </c>
      <c r="H213" s="75">
        <f t="shared" si="57"/>
        <v>1160.4444444444443</v>
      </c>
      <c r="I213" s="75">
        <f t="shared" si="54"/>
        <v>1695.7274249947839</v>
      </c>
      <c r="J213" s="75">
        <f t="shared" si="55"/>
        <v>177548.00000000134</v>
      </c>
      <c r="K213" s="69"/>
      <c r="L213" s="75">
        <f t="shared" si="58"/>
        <v>2747.9293413791861</v>
      </c>
      <c r="M213" s="75">
        <f t="shared" si="59"/>
        <v>1129.049049637646</v>
      </c>
      <c r="N213" s="75">
        <f t="shared" si="60"/>
        <v>1618.8802917415401</v>
      </c>
      <c r="O213" s="75">
        <f t="shared" si="56"/>
        <v>169480.66947855748</v>
      </c>
      <c r="T213" s="74"/>
    </row>
    <row r="214" spans="1:20" s="61" customFormat="1" outlineLevel="1" x14ac:dyDescent="0.25">
      <c r="A214" s="71">
        <v>208</v>
      </c>
      <c r="B214" s="75">
        <f t="shared" si="49"/>
        <v>4100.9182743504398</v>
      </c>
      <c r="C214" s="75">
        <f t="shared" si="50"/>
        <v>966.83268851997298</v>
      </c>
      <c r="D214" s="75">
        <f t="shared" si="51"/>
        <v>3134.0855858304667</v>
      </c>
      <c r="E214" s="75">
        <f t="shared" si="52"/>
        <v>329326.55735985126</v>
      </c>
      <c r="F214" s="64"/>
      <c r="G214" s="75">
        <f t="shared" si="53"/>
        <v>2845.1606523938076</v>
      </c>
      <c r="H214" s="75">
        <f t="shared" si="57"/>
        <v>1160.4444444444443</v>
      </c>
      <c r="I214" s="75">
        <f t="shared" si="54"/>
        <v>1684.7162079493633</v>
      </c>
      <c r="J214" s="75">
        <f t="shared" si="55"/>
        <v>176387.5555555569</v>
      </c>
      <c r="K214" s="69"/>
      <c r="L214" s="75">
        <f t="shared" si="58"/>
        <v>2747.9293413791861</v>
      </c>
      <c r="M214" s="75">
        <f t="shared" si="59"/>
        <v>1139.7623622826454</v>
      </c>
      <c r="N214" s="75">
        <f t="shared" si="60"/>
        <v>1608.1669790965407</v>
      </c>
      <c r="O214" s="75">
        <f t="shared" si="56"/>
        <v>168340.90711627484</v>
      </c>
      <c r="T214" s="74"/>
    </row>
    <row r="215" spans="1:20" s="61" customFormat="1" outlineLevel="1" x14ac:dyDescent="0.25">
      <c r="A215" s="71">
        <v>209</v>
      </c>
      <c r="B215" s="75">
        <f t="shared" si="49"/>
        <v>4100.9182743504398</v>
      </c>
      <c r="C215" s="75">
        <f t="shared" si="50"/>
        <v>976.00676370372537</v>
      </c>
      <c r="D215" s="75">
        <f t="shared" si="51"/>
        <v>3124.9115106467148</v>
      </c>
      <c r="E215" s="75">
        <f t="shared" si="52"/>
        <v>328350.55059614754</v>
      </c>
      <c r="F215" s="64"/>
      <c r="G215" s="75">
        <f t="shared" si="53"/>
        <v>2834.1494353483872</v>
      </c>
      <c r="H215" s="75">
        <f t="shared" si="57"/>
        <v>1160.4444444444443</v>
      </c>
      <c r="I215" s="75">
        <f t="shared" si="54"/>
        <v>1673.7049909039429</v>
      </c>
      <c r="J215" s="75">
        <f t="shared" si="55"/>
        <v>175227.11111111246</v>
      </c>
      <c r="K215" s="69"/>
      <c r="L215" s="75">
        <f t="shared" si="58"/>
        <v>2747.9293413791861</v>
      </c>
      <c r="M215" s="75">
        <f t="shared" si="59"/>
        <v>1150.5773313329767</v>
      </c>
      <c r="N215" s="75">
        <f t="shared" si="60"/>
        <v>1597.3520100462094</v>
      </c>
      <c r="O215" s="75">
        <f t="shared" si="56"/>
        <v>167190.32978494186</v>
      </c>
      <c r="T215" s="74"/>
    </row>
    <row r="216" spans="1:20" s="61" customFormat="1" outlineLevel="1" x14ac:dyDescent="0.25">
      <c r="A216" s="71">
        <v>210</v>
      </c>
      <c r="B216" s="75">
        <f t="shared" si="49"/>
        <v>4100.9182743504398</v>
      </c>
      <c r="C216" s="75">
        <f t="shared" si="50"/>
        <v>985.26788978726233</v>
      </c>
      <c r="D216" s="75">
        <f t="shared" si="51"/>
        <v>3115.6503845631778</v>
      </c>
      <c r="E216" s="75">
        <f t="shared" si="52"/>
        <v>327365.28270636027</v>
      </c>
      <c r="F216" s="64"/>
      <c r="G216" s="75">
        <f t="shared" si="53"/>
        <v>2823.1382183029664</v>
      </c>
      <c r="H216" s="75">
        <f t="shared" si="57"/>
        <v>1160.4444444444443</v>
      </c>
      <c r="I216" s="75">
        <f t="shared" si="54"/>
        <v>1662.6937738585223</v>
      </c>
      <c r="J216" s="75">
        <f t="shared" si="55"/>
        <v>174066.66666666802</v>
      </c>
      <c r="K216" s="69"/>
      <c r="L216" s="75">
        <f t="shared" si="58"/>
        <v>2747.9293413791861</v>
      </c>
      <c r="M216" s="75">
        <f t="shared" si="59"/>
        <v>1161.4949213852203</v>
      </c>
      <c r="N216" s="75">
        <f t="shared" si="60"/>
        <v>1586.4344199939658</v>
      </c>
      <c r="O216" s="75">
        <f t="shared" si="56"/>
        <v>166028.83486355664</v>
      </c>
      <c r="T216" s="74"/>
    </row>
    <row r="217" spans="1:20" s="61" customFormat="1" outlineLevel="1" x14ac:dyDescent="0.25">
      <c r="A217" s="71">
        <v>211</v>
      </c>
      <c r="B217" s="75">
        <f t="shared" si="49"/>
        <v>4100.9182743504398</v>
      </c>
      <c r="C217" s="75">
        <f t="shared" si="50"/>
        <v>994.61689277854725</v>
      </c>
      <c r="D217" s="75">
        <f t="shared" si="51"/>
        <v>3106.3013815718928</v>
      </c>
      <c r="E217" s="75">
        <f t="shared" si="52"/>
        <v>326370.66581358173</v>
      </c>
      <c r="F217" s="64"/>
      <c r="G217" s="75">
        <f t="shared" si="53"/>
        <v>2812.127001257546</v>
      </c>
      <c r="H217" s="75">
        <f t="shared" si="57"/>
        <v>1160.4444444444443</v>
      </c>
      <c r="I217" s="75">
        <f t="shared" si="54"/>
        <v>1651.6825568131017</v>
      </c>
      <c r="J217" s="75">
        <f t="shared" si="55"/>
        <v>172906.22222222359</v>
      </c>
      <c r="K217" s="69"/>
      <c r="L217" s="75">
        <f t="shared" si="58"/>
        <v>2747.9293413791861</v>
      </c>
      <c r="M217" s="75">
        <f t="shared" si="59"/>
        <v>1172.5161061888145</v>
      </c>
      <c r="N217" s="75">
        <f t="shared" si="60"/>
        <v>1575.4132351903716</v>
      </c>
      <c r="O217" s="75">
        <f t="shared" si="56"/>
        <v>164856.31875736782</v>
      </c>
      <c r="T217" s="74"/>
    </row>
    <row r="218" spans="1:20" s="61" customFormat="1" outlineLevel="1" x14ac:dyDescent="0.25">
      <c r="A218" s="71">
        <v>212</v>
      </c>
      <c r="B218" s="75">
        <f t="shared" si="49"/>
        <v>4100.9182743504398</v>
      </c>
      <c r="C218" s="75">
        <f t="shared" si="50"/>
        <v>1004.0546065233614</v>
      </c>
      <c r="D218" s="75">
        <f t="shared" si="51"/>
        <v>3096.8636678270786</v>
      </c>
      <c r="E218" s="75">
        <f t="shared" si="52"/>
        <v>325366.61120705836</v>
      </c>
      <c r="F218" s="64"/>
      <c r="G218" s="75">
        <f t="shared" si="53"/>
        <v>2801.1157842121256</v>
      </c>
      <c r="H218" s="75">
        <f t="shared" si="57"/>
        <v>1160.4444444444443</v>
      </c>
      <c r="I218" s="75">
        <f t="shared" si="54"/>
        <v>1640.6713397676813</v>
      </c>
      <c r="J218" s="75">
        <f t="shared" si="55"/>
        <v>171745.77777777915</v>
      </c>
      <c r="K218" s="69"/>
      <c r="L218" s="75">
        <f t="shared" si="58"/>
        <v>2747.9293413791861</v>
      </c>
      <c r="M218" s="75">
        <f t="shared" si="59"/>
        <v>1183.641868732904</v>
      </c>
      <c r="N218" s="75">
        <f t="shared" si="60"/>
        <v>1564.2874726462821</v>
      </c>
      <c r="O218" s="75">
        <f t="shared" si="56"/>
        <v>163672.67688863492</v>
      </c>
      <c r="T218" s="74"/>
    </row>
    <row r="219" spans="1:20" s="61" customFormat="1" outlineLevel="1" x14ac:dyDescent="0.25">
      <c r="A219" s="71">
        <v>213</v>
      </c>
      <c r="B219" s="75">
        <f t="shared" si="49"/>
        <v>4100.9182743504398</v>
      </c>
      <c r="C219" s="75">
        <f t="shared" si="50"/>
        <v>1013.5818727796757</v>
      </c>
      <c r="D219" s="75">
        <f t="shared" si="51"/>
        <v>3087.3364015707643</v>
      </c>
      <c r="E219" s="75">
        <f t="shared" si="52"/>
        <v>324353.02933427866</v>
      </c>
      <c r="F219" s="64"/>
      <c r="G219" s="75">
        <f t="shared" si="53"/>
        <v>2790.1045671667052</v>
      </c>
      <c r="H219" s="75">
        <f t="shared" si="57"/>
        <v>1160.4444444444443</v>
      </c>
      <c r="I219" s="75">
        <f t="shared" si="54"/>
        <v>1629.6601227222607</v>
      </c>
      <c r="J219" s="75">
        <f t="shared" si="55"/>
        <v>170585.33333333471</v>
      </c>
      <c r="K219" s="69"/>
      <c r="L219" s="75">
        <f t="shared" si="58"/>
        <v>2747.9293413791861</v>
      </c>
      <c r="M219" s="75">
        <f t="shared" si="59"/>
        <v>1194.8732013340134</v>
      </c>
      <c r="N219" s="75">
        <f t="shared" si="60"/>
        <v>1553.0561400451727</v>
      </c>
      <c r="O219" s="75">
        <f t="shared" si="56"/>
        <v>162477.80368730091</v>
      </c>
      <c r="T219" s="74"/>
    </row>
    <row r="220" spans="1:20" s="61" customFormat="1" outlineLevel="1" x14ac:dyDescent="0.25">
      <c r="A220" s="71">
        <v>214</v>
      </c>
      <c r="B220" s="75">
        <f t="shared" si="49"/>
        <v>4100.9182743504398</v>
      </c>
      <c r="C220" s="75">
        <f t="shared" si="50"/>
        <v>1023.1995412927289</v>
      </c>
      <c r="D220" s="75">
        <f t="shared" si="51"/>
        <v>3077.7187330577108</v>
      </c>
      <c r="E220" s="75">
        <f t="shared" si="52"/>
        <v>323329.82979298593</v>
      </c>
      <c r="F220" s="64"/>
      <c r="G220" s="75">
        <f t="shared" si="53"/>
        <v>2779.0933501212844</v>
      </c>
      <c r="H220" s="75">
        <f t="shared" si="57"/>
        <v>1160.4444444444443</v>
      </c>
      <c r="I220" s="75">
        <f t="shared" si="54"/>
        <v>1618.6489056768401</v>
      </c>
      <c r="J220" s="75">
        <f t="shared" si="55"/>
        <v>169424.88888889027</v>
      </c>
      <c r="K220" s="69"/>
      <c r="L220" s="75">
        <f t="shared" si="58"/>
        <v>2747.9293413791861</v>
      </c>
      <c r="M220" s="75">
        <f t="shared" si="59"/>
        <v>1206.211105724554</v>
      </c>
      <c r="N220" s="75">
        <f t="shared" si="60"/>
        <v>1541.7182356546321</v>
      </c>
      <c r="O220" s="75">
        <f t="shared" si="56"/>
        <v>161271.59258157635</v>
      </c>
      <c r="T220" s="74"/>
    </row>
    <row r="221" spans="1:20" s="61" customFormat="1" outlineLevel="1" x14ac:dyDescent="0.25">
      <c r="A221" s="71">
        <v>215</v>
      </c>
      <c r="B221" s="75">
        <f t="shared" si="49"/>
        <v>4100.9182743504398</v>
      </c>
      <c r="C221" s="75">
        <f t="shared" si="50"/>
        <v>1032.9084698708161</v>
      </c>
      <c r="D221" s="75">
        <f t="shared" si="51"/>
        <v>3068.0098044796237</v>
      </c>
      <c r="E221" s="75">
        <f t="shared" si="52"/>
        <v>322296.92132311512</v>
      </c>
      <c r="F221" s="64"/>
      <c r="G221" s="75">
        <f t="shared" si="53"/>
        <v>2768.082133075864</v>
      </c>
      <c r="H221" s="75">
        <f t="shared" si="57"/>
        <v>1160.4444444444443</v>
      </c>
      <c r="I221" s="75">
        <f t="shared" si="54"/>
        <v>1607.6376886314197</v>
      </c>
      <c r="J221" s="75">
        <f t="shared" si="55"/>
        <v>168264.44444444583</v>
      </c>
      <c r="K221" s="69"/>
      <c r="L221" s="75">
        <f t="shared" si="58"/>
        <v>2747.9293413791861</v>
      </c>
      <c r="M221" s="75">
        <f t="shared" si="59"/>
        <v>1217.656593142169</v>
      </c>
      <c r="N221" s="75">
        <f t="shared" si="60"/>
        <v>1530.2727482370171</v>
      </c>
      <c r="O221" s="75">
        <f t="shared" si="56"/>
        <v>160053.93598843418</v>
      </c>
      <c r="T221" s="74"/>
    </row>
    <row r="222" spans="1:20" s="61" customFormat="1" x14ac:dyDescent="0.25">
      <c r="A222" s="69">
        <v>216</v>
      </c>
      <c r="B222" s="73">
        <f t="shared" si="49"/>
        <v>4100.9182743504398</v>
      </c>
      <c r="C222" s="73">
        <f t="shared" si="50"/>
        <v>1042.7095244617974</v>
      </c>
      <c r="D222" s="73">
        <f t="shared" si="51"/>
        <v>3058.2087498886426</v>
      </c>
      <c r="E222" s="73">
        <f t="shared" si="52"/>
        <v>321254.2117986533</v>
      </c>
      <c r="F222" s="64"/>
      <c r="G222" s="73">
        <f t="shared" si="53"/>
        <v>2757.0709160304432</v>
      </c>
      <c r="H222" s="73">
        <f t="shared" si="57"/>
        <v>1160.4444444444443</v>
      </c>
      <c r="I222" s="73">
        <f t="shared" si="54"/>
        <v>1596.6264715859991</v>
      </c>
      <c r="J222" s="73">
        <f t="shared" si="55"/>
        <v>167104.0000000014</v>
      </c>
      <c r="K222" s="69"/>
      <c r="L222" s="73">
        <f t="shared" si="58"/>
        <v>2747.9293413791861</v>
      </c>
      <c r="M222" s="73">
        <f t="shared" si="59"/>
        <v>1229.2106844199247</v>
      </c>
      <c r="N222" s="73">
        <f t="shared" si="60"/>
        <v>1518.7186569592614</v>
      </c>
      <c r="O222" s="73">
        <f t="shared" si="56"/>
        <v>158824.72530401425</v>
      </c>
      <c r="T222" s="74"/>
    </row>
    <row r="223" spans="1:20" s="61" customFormat="1" outlineLevel="1" x14ac:dyDescent="0.25">
      <c r="A223" s="71">
        <v>217</v>
      </c>
      <c r="B223" s="75">
        <f t="shared" si="49"/>
        <v>4100.9182743504389</v>
      </c>
      <c r="C223" s="75">
        <f t="shared" si="50"/>
        <v>1052.6035792303328</v>
      </c>
      <c r="D223" s="75">
        <f t="shared" si="51"/>
        <v>3048.3146951201065</v>
      </c>
      <c r="E223" s="75">
        <f t="shared" si="52"/>
        <v>320201.60821942298</v>
      </c>
      <c r="F223" s="64"/>
      <c r="G223" s="75">
        <f t="shared" si="53"/>
        <v>2746.0596989850228</v>
      </c>
      <c r="H223" s="75">
        <f t="shared" si="57"/>
        <v>1160.4444444444443</v>
      </c>
      <c r="I223" s="75">
        <f t="shared" si="54"/>
        <v>1585.6152545405785</v>
      </c>
      <c r="J223" s="75">
        <f t="shared" si="55"/>
        <v>165943.55555555696</v>
      </c>
      <c r="K223" s="69"/>
      <c r="L223" s="75">
        <f>+M223+N223</f>
        <v>2610.0044125797003</v>
      </c>
      <c r="M223" s="75">
        <f>IF(O222&lt;0,0,+O222/($C$3-A222))</f>
        <v>1102.9494812778767</v>
      </c>
      <c r="N223" s="75">
        <f t="shared" si="60"/>
        <v>1507.0549313018234</v>
      </c>
      <c r="O223" s="75">
        <f t="shared" si="56"/>
        <v>157721.77582273638</v>
      </c>
      <c r="T223" s="74"/>
    </row>
    <row r="224" spans="1:20" s="61" customFormat="1" outlineLevel="1" x14ac:dyDescent="0.25">
      <c r="A224" s="71">
        <v>218</v>
      </c>
      <c r="B224" s="75">
        <f t="shared" si="49"/>
        <v>4100.9182743504398</v>
      </c>
      <c r="C224" s="75">
        <f t="shared" si="50"/>
        <v>1062.5915166358504</v>
      </c>
      <c r="D224" s="75">
        <f t="shared" si="51"/>
        <v>3038.3267577145893</v>
      </c>
      <c r="E224" s="75">
        <f t="shared" si="52"/>
        <v>319139.01670278714</v>
      </c>
      <c r="F224" s="64"/>
      <c r="G224" s="75">
        <f t="shared" si="53"/>
        <v>2735.0484819396024</v>
      </c>
      <c r="H224" s="75">
        <f t="shared" si="57"/>
        <v>1160.4444444444443</v>
      </c>
      <c r="I224" s="75">
        <f t="shared" si="54"/>
        <v>1574.6040374951581</v>
      </c>
      <c r="J224" s="75">
        <f t="shared" si="55"/>
        <v>164783.11111111252</v>
      </c>
      <c r="K224" s="69"/>
      <c r="L224" s="75">
        <f t="shared" si="58"/>
        <v>2610.0044125797003</v>
      </c>
      <c r="M224" s="75">
        <f t="shared" si="59"/>
        <v>1113.4151405230284</v>
      </c>
      <c r="N224" s="75">
        <f t="shared" si="60"/>
        <v>1496.5892720566719</v>
      </c>
      <c r="O224" s="75">
        <f t="shared" si="56"/>
        <v>156608.36068221336</v>
      </c>
      <c r="T224" s="74"/>
    </row>
    <row r="225" spans="1:20" s="61" customFormat="1" outlineLevel="1" x14ac:dyDescent="0.25">
      <c r="A225" s="71">
        <v>219</v>
      </c>
      <c r="B225" s="75">
        <f t="shared" si="49"/>
        <v>4100.9182743504398</v>
      </c>
      <c r="C225" s="75">
        <f t="shared" si="50"/>
        <v>1072.6742275112526</v>
      </c>
      <c r="D225" s="75">
        <f t="shared" si="51"/>
        <v>3028.2440468391874</v>
      </c>
      <c r="E225" s="75">
        <f t="shared" si="52"/>
        <v>318066.34247527586</v>
      </c>
      <c r="F225" s="64"/>
      <c r="G225" s="75">
        <f t="shared" si="53"/>
        <v>2724.037264894182</v>
      </c>
      <c r="H225" s="75">
        <f t="shared" si="57"/>
        <v>1160.4444444444443</v>
      </c>
      <c r="I225" s="75">
        <f t="shared" si="54"/>
        <v>1563.5928204497375</v>
      </c>
      <c r="J225" s="75">
        <f t="shared" si="55"/>
        <v>163622.66666666808</v>
      </c>
      <c r="K225" s="69"/>
      <c r="L225" s="75">
        <f t="shared" si="58"/>
        <v>2610.0044125797003</v>
      </c>
      <c r="M225" s="75">
        <f t="shared" si="59"/>
        <v>1123.9801062416809</v>
      </c>
      <c r="N225" s="75">
        <f t="shared" si="60"/>
        <v>1486.0243063380194</v>
      </c>
      <c r="O225" s="75">
        <f t="shared" si="56"/>
        <v>155484.38057597168</v>
      </c>
      <c r="T225" s="74"/>
    </row>
    <row r="226" spans="1:20" s="61" customFormat="1" outlineLevel="1" x14ac:dyDescent="0.25">
      <c r="A226" s="71">
        <v>220</v>
      </c>
      <c r="B226" s="75">
        <f t="shared" si="49"/>
        <v>4100.9182743504398</v>
      </c>
      <c r="C226" s="75">
        <f t="shared" si="50"/>
        <v>1082.8526111423707</v>
      </c>
      <c r="D226" s="75">
        <f t="shared" si="51"/>
        <v>3018.0656632080691</v>
      </c>
      <c r="E226" s="75">
        <f t="shared" si="52"/>
        <v>316983.48986413347</v>
      </c>
      <c r="F226" s="64"/>
      <c r="G226" s="75">
        <f t="shared" si="53"/>
        <v>2713.0260478487612</v>
      </c>
      <c r="H226" s="75">
        <f t="shared" si="57"/>
        <v>1160.4444444444443</v>
      </c>
      <c r="I226" s="75">
        <f t="shared" si="54"/>
        <v>1552.5816034043169</v>
      </c>
      <c r="J226" s="75">
        <f t="shared" si="55"/>
        <v>162462.22222222365</v>
      </c>
      <c r="K226" s="69"/>
      <c r="L226" s="75">
        <f t="shared" si="58"/>
        <v>2610.0044125797003</v>
      </c>
      <c r="M226" s="75">
        <f t="shared" si="59"/>
        <v>1134.6453207323989</v>
      </c>
      <c r="N226" s="75">
        <f t="shared" si="60"/>
        <v>1475.3590918473014</v>
      </c>
      <c r="O226" s="75">
        <f t="shared" si="56"/>
        <v>154349.73525523927</v>
      </c>
      <c r="T226" s="74"/>
    </row>
    <row r="227" spans="1:20" s="61" customFormat="1" outlineLevel="1" x14ac:dyDescent="0.25">
      <c r="A227" s="71">
        <v>221</v>
      </c>
      <c r="B227" s="75">
        <f t="shared" si="49"/>
        <v>4100.9182743504389</v>
      </c>
      <c r="C227" s="75">
        <f t="shared" si="50"/>
        <v>1093.127575348173</v>
      </c>
      <c r="D227" s="75">
        <f t="shared" si="51"/>
        <v>3007.7906990022661</v>
      </c>
      <c r="E227" s="75">
        <f t="shared" si="52"/>
        <v>315890.36228878528</v>
      </c>
      <c r="F227" s="64"/>
      <c r="G227" s="75">
        <f t="shared" si="53"/>
        <v>2702.0148308033408</v>
      </c>
      <c r="H227" s="75">
        <f t="shared" si="57"/>
        <v>1160.4444444444443</v>
      </c>
      <c r="I227" s="75">
        <f t="shared" si="54"/>
        <v>1541.5703863588965</v>
      </c>
      <c r="J227" s="75">
        <f t="shared" si="55"/>
        <v>161301.77777777921</v>
      </c>
      <c r="K227" s="69"/>
      <c r="L227" s="75">
        <f t="shared" si="58"/>
        <v>2610.0044125797003</v>
      </c>
      <c r="M227" s="75">
        <f t="shared" si="59"/>
        <v>1145.4117352350222</v>
      </c>
      <c r="N227" s="75">
        <f t="shared" si="60"/>
        <v>1464.5926773446781</v>
      </c>
      <c r="O227" s="75">
        <f t="shared" si="56"/>
        <v>153204.32352000425</v>
      </c>
      <c r="T227" s="74"/>
    </row>
    <row r="228" spans="1:20" s="61" customFormat="1" outlineLevel="1" x14ac:dyDescent="0.25">
      <c r="A228" s="71">
        <v>222</v>
      </c>
      <c r="B228" s="75">
        <f t="shared" si="49"/>
        <v>4100.9182743504389</v>
      </c>
      <c r="C228" s="75">
        <f t="shared" si="50"/>
        <v>1103.5000365617348</v>
      </c>
      <c r="D228" s="75">
        <f t="shared" si="51"/>
        <v>2997.4182377887046</v>
      </c>
      <c r="E228" s="75">
        <f t="shared" si="52"/>
        <v>314786.86225222354</v>
      </c>
      <c r="F228" s="64"/>
      <c r="G228" s="75">
        <f t="shared" si="53"/>
        <v>2691.00361375792</v>
      </c>
      <c r="H228" s="75">
        <f t="shared" si="57"/>
        <v>1160.4444444444443</v>
      </c>
      <c r="I228" s="75">
        <f t="shared" si="54"/>
        <v>1530.5591693134759</v>
      </c>
      <c r="J228" s="75">
        <f t="shared" si="55"/>
        <v>160141.33333333477</v>
      </c>
      <c r="K228" s="69"/>
      <c r="L228" s="75">
        <f t="shared" si="58"/>
        <v>2610.0044125797003</v>
      </c>
      <c r="M228" s="75">
        <f t="shared" si="59"/>
        <v>1156.2803100155088</v>
      </c>
      <c r="N228" s="75">
        <f t="shared" si="60"/>
        <v>1453.7241025641915</v>
      </c>
      <c r="O228" s="75">
        <f t="shared" si="56"/>
        <v>152048.04320998874</v>
      </c>
      <c r="T228" s="74"/>
    </row>
    <row r="229" spans="1:20" s="61" customFormat="1" outlineLevel="1" x14ac:dyDescent="0.25">
      <c r="A229" s="71">
        <v>223</v>
      </c>
      <c r="B229" s="75">
        <f t="shared" si="49"/>
        <v>4100.9182743504389</v>
      </c>
      <c r="C229" s="75">
        <f t="shared" si="50"/>
        <v>1113.9709199119739</v>
      </c>
      <c r="D229" s="75">
        <f t="shared" si="51"/>
        <v>2986.947354438465</v>
      </c>
      <c r="E229" s="75">
        <f t="shared" si="52"/>
        <v>313672.89133231156</v>
      </c>
      <c r="F229" s="64"/>
      <c r="G229" s="75">
        <f t="shared" si="53"/>
        <v>2679.9923967124996</v>
      </c>
      <c r="H229" s="75">
        <f t="shared" si="57"/>
        <v>1160.4444444444443</v>
      </c>
      <c r="I229" s="75">
        <f t="shared" si="54"/>
        <v>1519.5479522680553</v>
      </c>
      <c r="J229" s="75">
        <f t="shared" si="55"/>
        <v>158980.88888889033</v>
      </c>
      <c r="K229" s="69"/>
      <c r="L229" s="75">
        <f t="shared" si="58"/>
        <v>2610.0044125797003</v>
      </c>
      <c r="M229" s="75">
        <f t="shared" si="59"/>
        <v>1167.2520144515815</v>
      </c>
      <c r="N229" s="75">
        <f t="shared" si="60"/>
        <v>1442.7523981281188</v>
      </c>
      <c r="O229" s="75">
        <f t="shared" si="56"/>
        <v>150880.79119553717</v>
      </c>
      <c r="T229" s="74"/>
    </row>
    <row r="230" spans="1:20" s="61" customFormat="1" outlineLevel="1" x14ac:dyDescent="0.25">
      <c r="A230" s="71">
        <v>224</v>
      </c>
      <c r="B230" s="75">
        <f t="shared" si="49"/>
        <v>4100.9182743504389</v>
      </c>
      <c r="C230" s="75">
        <f t="shared" si="50"/>
        <v>1124.5411593061656</v>
      </c>
      <c r="D230" s="75">
        <f t="shared" si="51"/>
        <v>2976.3771150442735</v>
      </c>
      <c r="E230" s="75">
        <f t="shared" si="52"/>
        <v>312548.35017300537</v>
      </c>
      <c r="F230" s="64"/>
      <c r="G230" s="75">
        <f t="shared" si="53"/>
        <v>2668.9811796670792</v>
      </c>
      <c r="H230" s="75">
        <f t="shared" si="57"/>
        <v>1160.4444444444443</v>
      </c>
      <c r="I230" s="75">
        <f t="shared" si="54"/>
        <v>1508.5367352226349</v>
      </c>
      <c r="J230" s="75">
        <f t="shared" si="55"/>
        <v>157820.44444444589</v>
      </c>
      <c r="K230" s="69"/>
      <c r="L230" s="75">
        <f t="shared" si="58"/>
        <v>2610.0044125797003</v>
      </c>
      <c r="M230" s="75">
        <f t="shared" si="59"/>
        <v>1178.3278271191875</v>
      </c>
      <c r="N230" s="75">
        <f t="shared" si="60"/>
        <v>1431.6765854605128</v>
      </c>
      <c r="O230" s="75">
        <f t="shared" si="56"/>
        <v>149702.46336841799</v>
      </c>
      <c r="T230" s="74"/>
    </row>
    <row r="231" spans="1:20" s="61" customFormat="1" outlineLevel="1" x14ac:dyDescent="0.25">
      <c r="A231" s="71">
        <v>225</v>
      </c>
      <c r="B231" s="75">
        <f t="shared" si="49"/>
        <v>4100.9182743504389</v>
      </c>
      <c r="C231" s="75">
        <f t="shared" si="50"/>
        <v>1135.2116975132381</v>
      </c>
      <c r="D231" s="75">
        <f t="shared" si="51"/>
        <v>2965.7065768372008</v>
      </c>
      <c r="E231" s="75">
        <f t="shared" si="52"/>
        <v>311413.13847549213</v>
      </c>
      <c r="F231" s="64"/>
      <c r="G231" s="75">
        <f t="shared" si="53"/>
        <v>2657.9699626216589</v>
      </c>
      <c r="H231" s="75">
        <f t="shared" si="57"/>
        <v>1160.4444444444443</v>
      </c>
      <c r="I231" s="75">
        <f t="shared" si="54"/>
        <v>1497.5255181772143</v>
      </c>
      <c r="J231" s="75">
        <f t="shared" si="55"/>
        <v>156660.00000000146</v>
      </c>
      <c r="K231" s="69"/>
      <c r="L231" s="75">
        <f t="shared" si="58"/>
        <v>2610.0044125797003</v>
      </c>
      <c r="M231" s="75">
        <f t="shared" si="59"/>
        <v>1189.5087358797784</v>
      </c>
      <c r="N231" s="75">
        <f t="shared" si="60"/>
        <v>1420.4956766999219</v>
      </c>
      <c r="O231" s="75">
        <f t="shared" si="56"/>
        <v>148512.9546325382</v>
      </c>
      <c r="T231" s="74"/>
    </row>
    <row r="232" spans="1:20" s="61" customFormat="1" outlineLevel="1" x14ac:dyDescent="0.25">
      <c r="A232" s="71">
        <v>226</v>
      </c>
      <c r="B232" s="75">
        <f t="shared" si="49"/>
        <v>4100.9182743504389</v>
      </c>
      <c r="C232" s="75">
        <f t="shared" si="50"/>
        <v>1145.9834862478574</v>
      </c>
      <c r="D232" s="75">
        <f t="shared" si="51"/>
        <v>2954.9347881025815</v>
      </c>
      <c r="E232" s="75">
        <f t="shared" si="52"/>
        <v>310267.1549892443</v>
      </c>
      <c r="F232" s="64"/>
      <c r="G232" s="75">
        <f t="shared" si="53"/>
        <v>2646.958745576238</v>
      </c>
      <c r="H232" s="75">
        <f t="shared" si="57"/>
        <v>1160.4444444444443</v>
      </c>
      <c r="I232" s="75">
        <f t="shared" si="54"/>
        <v>1486.5143011317937</v>
      </c>
      <c r="J232" s="75">
        <f t="shared" si="55"/>
        <v>155499.55555555702</v>
      </c>
      <c r="K232" s="69"/>
      <c r="L232" s="75">
        <f t="shared" si="58"/>
        <v>2610.0044125797003</v>
      </c>
      <c r="M232" s="75">
        <f t="shared" si="59"/>
        <v>1200.7957379684194</v>
      </c>
      <c r="N232" s="75">
        <f t="shared" si="60"/>
        <v>1409.2086746112809</v>
      </c>
      <c r="O232" s="75">
        <f t="shared" si="56"/>
        <v>147312.15889456979</v>
      </c>
      <c r="T232" s="74"/>
    </row>
    <row r="233" spans="1:20" s="61" customFormat="1" outlineLevel="1" x14ac:dyDescent="0.25">
      <c r="A233" s="71">
        <v>227</v>
      </c>
      <c r="B233" s="75">
        <f t="shared" si="49"/>
        <v>4100.9182743504389</v>
      </c>
      <c r="C233" s="75">
        <f t="shared" si="50"/>
        <v>1156.8574862553151</v>
      </c>
      <c r="D233" s="75">
        <f t="shared" si="51"/>
        <v>2944.0607880951243</v>
      </c>
      <c r="E233" s="75">
        <f t="shared" si="52"/>
        <v>309110.29750298901</v>
      </c>
      <c r="F233" s="64"/>
      <c r="G233" s="75">
        <f t="shared" si="53"/>
        <v>2635.9475285308176</v>
      </c>
      <c r="H233" s="75">
        <f t="shared" si="57"/>
        <v>1160.4444444444443</v>
      </c>
      <c r="I233" s="75">
        <f t="shared" si="54"/>
        <v>1475.5030840863733</v>
      </c>
      <c r="J233" s="75">
        <f t="shared" si="55"/>
        <v>154339.11111111258</v>
      </c>
      <c r="K233" s="69"/>
      <c r="L233" s="75">
        <f t="shared" si="58"/>
        <v>2610.0044125797003</v>
      </c>
      <c r="M233" s="75">
        <f t="shared" si="59"/>
        <v>1212.1898400827315</v>
      </c>
      <c r="N233" s="75">
        <f t="shared" si="60"/>
        <v>1397.8145724969688</v>
      </c>
      <c r="O233" s="75">
        <f t="shared" si="56"/>
        <v>146099.96905448707</v>
      </c>
      <c r="T233" s="74"/>
    </row>
    <row r="234" spans="1:20" s="61" customFormat="1" x14ac:dyDescent="0.25">
      <c r="A234" s="69">
        <v>228</v>
      </c>
      <c r="B234" s="73">
        <f t="shared" si="49"/>
        <v>4100.9182743504389</v>
      </c>
      <c r="C234" s="73">
        <f t="shared" si="50"/>
        <v>1167.8346673972139</v>
      </c>
      <c r="D234" s="73">
        <f t="shared" si="51"/>
        <v>2933.0836069532252</v>
      </c>
      <c r="E234" s="73">
        <f t="shared" si="52"/>
        <v>307942.46283559181</v>
      </c>
      <c r="F234" s="64"/>
      <c r="G234" s="73">
        <f t="shared" si="53"/>
        <v>2624.9363114853968</v>
      </c>
      <c r="H234" s="73">
        <f t="shared" si="57"/>
        <v>1160.4444444444443</v>
      </c>
      <c r="I234" s="73">
        <f t="shared" si="54"/>
        <v>1464.4918670409527</v>
      </c>
      <c r="J234" s="73">
        <f t="shared" si="55"/>
        <v>153178.66666666814</v>
      </c>
      <c r="K234" s="69"/>
      <c r="L234" s="73">
        <f t="shared" si="58"/>
        <v>2610.0044125797003</v>
      </c>
      <c r="M234" s="73">
        <f t="shared" si="59"/>
        <v>1223.6920584726818</v>
      </c>
      <c r="N234" s="73">
        <f t="shared" si="60"/>
        <v>1386.3123541070186</v>
      </c>
      <c r="O234" s="73">
        <f t="shared" si="56"/>
        <v>144876.27699601438</v>
      </c>
      <c r="T234" s="74"/>
    </row>
    <row r="235" spans="1:20" s="61" customFormat="1" outlineLevel="1" x14ac:dyDescent="0.25">
      <c r="A235" s="71">
        <v>229</v>
      </c>
      <c r="B235" s="75">
        <f t="shared" si="49"/>
        <v>4100.9182743504398</v>
      </c>
      <c r="C235" s="75">
        <f t="shared" si="50"/>
        <v>1178.9160087379739</v>
      </c>
      <c r="D235" s="75">
        <f t="shared" si="51"/>
        <v>2922.0022656124656</v>
      </c>
      <c r="E235" s="75">
        <f t="shared" si="52"/>
        <v>306763.54682685382</v>
      </c>
      <c r="F235" s="64"/>
      <c r="G235" s="75">
        <f t="shared" si="53"/>
        <v>2613.9250944399764</v>
      </c>
      <c r="H235" s="75">
        <f t="shared" si="57"/>
        <v>1160.4444444444443</v>
      </c>
      <c r="I235" s="75">
        <f t="shared" si="54"/>
        <v>1453.4806499955321</v>
      </c>
      <c r="J235" s="75">
        <f t="shared" si="55"/>
        <v>152018.2222222237</v>
      </c>
      <c r="K235" s="69"/>
      <c r="L235" s="75">
        <f>+M235+N235</f>
        <v>2472.2485465485865</v>
      </c>
      <c r="M235" s="75">
        <f>IF(O234&lt;0,0,+O234/($C$3-A234))</f>
        <v>1097.547553000109</v>
      </c>
      <c r="N235" s="75">
        <f t="shared" si="60"/>
        <v>1374.7009935484775</v>
      </c>
      <c r="O235" s="75">
        <f t="shared" si="56"/>
        <v>143778.72944301428</v>
      </c>
      <c r="T235" s="74"/>
    </row>
    <row r="236" spans="1:20" s="61" customFormat="1" outlineLevel="1" x14ac:dyDescent="0.25">
      <c r="A236" s="71">
        <v>230</v>
      </c>
      <c r="B236" s="75">
        <f t="shared" si="49"/>
        <v>4100.9182743504389</v>
      </c>
      <c r="C236" s="75">
        <f t="shared" si="50"/>
        <v>1190.1024986321536</v>
      </c>
      <c r="D236" s="75">
        <f t="shared" si="51"/>
        <v>2910.8157757182857</v>
      </c>
      <c r="E236" s="75">
        <f t="shared" si="52"/>
        <v>305573.44432822167</v>
      </c>
      <c r="F236" s="64"/>
      <c r="G236" s="75">
        <f t="shared" si="53"/>
        <v>2602.913877394556</v>
      </c>
      <c r="H236" s="75">
        <f t="shared" si="57"/>
        <v>1160.4444444444443</v>
      </c>
      <c r="I236" s="75">
        <f t="shared" si="54"/>
        <v>1442.4694329501117</v>
      </c>
      <c r="J236" s="75">
        <f t="shared" si="55"/>
        <v>150857.77777777927</v>
      </c>
      <c r="K236" s="69"/>
      <c r="L236" s="75">
        <f t="shared" si="58"/>
        <v>2472.2485465485865</v>
      </c>
      <c r="M236" s="75">
        <f t="shared" si="59"/>
        <v>1107.9619544663854</v>
      </c>
      <c r="N236" s="75">
        <f t="shared" si="60"/>
        <v>1364.2865920822012</v>
      </c>
      <c r="O236" s="75">
        <f t="shared" si="56"/>
        <v>142670.76748854789</v>
      </c>
      <c r="T236" s="74"/>
    </row>
    <row r="237" spans="1:20" s="61" customFormat="1" outlineLevel="1" x14ac:dyDescent="0.25">
      <c r="A237" s="71">
        <v>231</v>
      </c>
      <c r="B237" s="75">
        <f t="shared" si="49"/>
        <v>4100.9182743504389</v>
      </c>
      <c r="C237" s="75">
        <f t="shared" si="50"/>
        <v>1201.3951348126038</v>
      </c>
      <c r="D237" s="75">
        <f t="shared" si="51"/>
        <v>2899.5231395378355</v>
      </c>
      <c r="E237" s="75">
        <f t="shared" si="52"/>
        <v>304372.04919340904</v>
      </c>
      <c r="F237" s="64"/>
      <c r="G237" s="75">
        <f t="shared" si="53"/>
        <v>2591.9026603491357</v>
      </c>
      <c r="H237" s="75">
        <f t="shared" si="57"/>
        <v>1160.4444444444443</v>
      </c>
      <c r="I237" s="75">
        <f t="shared" si="54"/>
        <v>1431.4582159046911</v>
      </c>
      <c r="J237" s="75">
        <f t="shared" si="55"/>
        <v>149697.33333333483</v>
      </c>
      <c r="K237" s="69"/>
      <c r="L237" s="75">
        <f t="shared" si="58"/>
        <v>2472.2485465485865</v>
      </c>
      <c r="M237" s="75">
        <f t="shared" si="59"/>
        <v>1118.4751760317129</v>
      </c>
      <c r="N237" s="75">
        <f t="shared" si="60"/>
        <v>1353.7733705168737</v>
      </c>
      <c r="O237" s="75">
        <f t="shared" si="56"/>
        <v>141552.29231251619</v>
      </c>
      <c r="T237" s="74"/>
    </row>
    <row r="238" spans="1:20" s="61" customFormat="1" outlineLevel="1" x14ac:dyDescent="0.25">
      <c r="A238" s="71">
        <v>232</v>
      </c>
      <c r="B238" s="75">
        <f t="shared" si="49"/>
        <v>4100.9182743504389</v>
      </c>
      <c r="C238" s="75">
        <f t="shared" si="50"/>
        <v>1212.7949244794563</v>
      </c>
      <c r="D238" s="75">
        <f t="shared" si="51"/>
        <v>2888.123349870983</v>
      </c>
      <c r="E238" s="75">
        <f t="shared" si="52"/>
        <v>303159.2542689296</v>
      </c>
      <c r="F238" s="64"/>
      <c r="G238" s="75">
        <f t="shared" si="53"/>
        <v>2580.8914433037148</v>
      </c>
      <c r="H238" s="75">
        <f t="shared" si="57"/>
        <v>1160.4444444444443</v>
      </c>
      <c r="I238" s="75">
        <f t="shared" si="54"/>
        <v>1420.4469988592705</v>
      </c>
      <c r="J238" s="75">
        <f t="shared" si="55"/>
        <v>148536.88888889039</v>
      </c>
      <c r="K238" s="69"/>
      <c r="L238" s="75">
        <f t="shared" si="58"/>
        <v>2472.2485465485865</v>
      </c>
      <c r="M238" s="75">
        <f t="shared" si="59"/>
        <v>1129.0881553795489</v>
      </c>
      <c r="N238" s="75">
        <f t="shared" si="60"/>
        <v>1343.1603911690377</v>
      </c>
      <c r="O238" s="75">
        <f t="shared" si="56"/>
        <v>140423.20415713664</v>
      </c>
      <c r="T238" s="74"/>
    </row>
    <row r="239" spans="1:20" s="61" customFormat="1" outlineLevel="1" x14ac:dyDescent="0.25">
      <c r="A239" s="71">
        <v>233</v>
      </c>
      <c r="B239" s="75">
        <f t="shared" si="49"/>
        <v>4100.9182743504389</v>
      </c>
      <c r="C239" s="75">
        <f t="shared" si="50"/>
        <v>1224.3028843899551</v>
      </c>
      <c r="D239" s="75">
        <f t="shared" si="51"/>
        <v>2876.6153899604842</v>
      </c>
      <c r="E239" s="75">
        <f t="shared" si="52"/>
        <v>301934.95138453966</v>
      </c>
      <c r="F239" s="64"/>
      <c r="G239" s="75">
        <f t="shared" si="53"/>
        <v>2569.8802262582944</v>
      </c>
      <c r="H239" s="75">
        <f t="shared" si="57"/>
        <v>1160.4444444444443</v>
      </c>
      <c r="I239" s="75">
        <f t="shared" si="54"/>
        <v>1409.4357818138501</v>
      </c>
      <c r="J239" s="75">
        <f t="shared" si="55"/>
        <v>147376.44444444595</v>
      </c>
      <c r="K239" s="69"/>
      <c r="L239" s="75">
        <f t="shared" si="58"/>
        <v>2472.2485465485865</v>
      </c>
      <c r="M239" s="75">
        <f t="shared" si="59"/>
        <v>1139.8018390908358</v>
      </c>
      <c r="N239" s="75">
        <f t="shared" si="60"/>
        <v>1332.4467074577508</v>
      </c>
      <c r="O239" s="75">
        <f t="shared" si="56"/>
        <v>139283.40231804582</v>
      </c>
      <c r="T239" s="74"/>
    </row>
    <row r="240" spans="1:20" s="61" customFormat="1" outlineLevel="1" x14ac:dyDescent="0.25">
      <c r="A240" s="71">
        <v>234</v>
      </c>
      <c r="B240" s="75">
        <f t="shared" si="49"/>
        <v>4100.9182743504389</v>
      </c>
      <c r="C240" s="75">
        <f t="shared" si="50"/>
        <v>1235.9200409491441</v>
      </c>
      <c r="D240" s="75">
        <f t="shared" si="51"/>
        <v>2864.9982334012952</v>
      </c>
      <c r="E240" s="75">
        <f t="shared" si="52"/>
        <v>300699.03134359053</v>
      </c>
      <c r="F240" s="64"/>
      <c r="G240" s="75">
        <f t="shared" si="53"/>
        <v>2558.8690092128736</v>
      </c>
      <c r="H240" s="75">
        <f t="shared" si="57"/>
        <v>1160.4444444444443</v>
      </c>
      <c r="I240" s="75">
        <f t="shared" si="54"/>
        <v>1398.4245647684295</v>
      </c>
      <c r="J240" s="75">
        <f t="shared" si="55"/>
        <v>146216.00000000151</v>
      </c>
      <c r="K240" s="69"/>
      <c r="L240" s="75">
        <f t="shared" si="58"/>
        <v>2472.2485465485865</v>
      </c>
      <c r="M240" s="75">
        <f t="shared" si="59"/>
        <v>1150.6171827284256</v>
      </c>
      <c r="N240" s="75">
        <f t="shared" si="60"/>
        <v>1321.6313638201609</v>
      </c>
      <c r="O240" s="75">
        <f t="shared" si="56"/>
        <v>138132.78513531739</v>
      </c>
      <c r="T240" s="74"/>
    </row>
    <row r="241" spans="1:20" s="61" customFormat="1" outlineLevel="1" x14ac:dyDescent="0.25">
      <c r="A241" s="71">
        <v>235</v>
      </c>
      <c r="B241" s="75">
        <f t="shared" si="49"/>
        <v>4100.9182743504398</v>
      </c>
      <c r="C241" s="75">
        <f t="shared" si="50"/>
        <v>1247.647430301412</v>
      </c>
      <c r="D241" s="75">
        <f t="shared" si="51"/>
        <v>2853.2708440490278</v>
      </c>
      <c r="E241" s="75">
        <f t="shared" si="52"/>
        <v>299451.38391328912</v>
      </c>
      <c r="F241" s="64"/>
      <c r="G241" s="75">
        <f t="shared" si="53"/>
        <v>2547.8577921674532</v>
      </c>
      <c r="H241" s="75">
        <f t="shared" si="57"/>
        <v>1160.4444444444443</v>
      </c>
      <c r="I241" s="75">
        <f t="shared" si="54"/>
        <v>1387.4133477230089</v>
      </c>
      <c r="J241" s="75">
        <f t="shared" si="55"/>
        <v>145055.55555555708</v>
      </c>
      <c r="K241" s="69"/>
      <c r="L241" s="75">
        <f t="shared" si="58"/>
        <v>2472.2485465485865</v>
      </c>
      <c r="M241" s="75">
        <f t="shared" si="59"/>
        <v>1161.535150922309</v>
      </c>
      <c r="N241" s="75">
        <f t="shared" si="60"/>
        <v>1310.7133956262776</v>
      </c>
      <c r="O241" s="75">
        <f t="shared" si="56"/>
        <v>136971.24998439508</v>
      </c>
      <c r="T241" s="74"/>
    </row>
    <row r="242" spans="1:20" s="61" customFormat="1" outlineLevel="1" x14ac:dyDescent="0.25">
      <c r="A242" s="71">
        <v>236</v>
      </c>
      <c r="B242" s="75">
        <f t="shared" si="49"/>
        <v>4100.9182743504398</v>
      </c>
      <c r="C242" s="75">
        <f t="shared" si="50"/>
        <v>1259.4860984229069</v>
      </c>
      <c r="D242" s="75">
        <f t="shared" si="51"/>
        <v>2841.4321759275331</v>
      </c>
      <c r="E242" s="75">
        <f t="shared" si="52"/>
        <v>298191.89781486621</v>
      </c>
      <c r="F242" s="64"/>
      <c r="G242" s="75">
        <f t="shared" si="53"/>
        <v>2536.8465751220328</v>
      </c>
      <c r="H242" s="75">
        <f t="shared" si="57"/>
        <v>1160.4444444444443</v>
      </c>
      <c r="I242" s="75">
        <f t="shared" si="54"/>
        <v>1376.4021306775885</v>
      </c>
      <c r="J242" s="75">
        <f t="shared" si="55"/>
        <v>143895.11111111264</v>
      </c>
      <c r="K242" s="69"/>
      <c r="L242" s="75">
        <f t="shared" si="58"/>
        <v>2472.2485465485865</v>
      </c>
      <c r="M242" s="75">
        <f t="shared" si="59"/>
        <v>1172.5567174556504</v>
      </c>
      <c r="N242" s="75">
        <f t="shared" si="60"/>
        <v>1299.6918290929361</v>
      </c>
      <c r="O242" s="75">
        <f t="shared" si="56"/>
        <v>135798.69326693943</v>
      </c>
      <c r="T242" s="74"/>
    </row>
    <row r="243" spans="1:20" s="61" customFormat="1" outlineLevel="1" x14ac:dyDescent="0.25">
      <c r="A243" s="71">
        <v>237</v>
      </c>
      <c r="B243" s="75">
        <f t="shared" si="49"/>
        <v>4100.9182743504398</v>
      </c>
      <c r="C243" s="75">
        <f t="shared" si="50"/>
        <v>1271.4371012148274</v>
      </c>
      <c r="D243" s="75">
        <f t="shared" si="51"/>
        <v>2829.4811731356122</v>
      </c>
      <c r="E243" s="75">
        <f t="shared" si="52"/>
        <v>296920.46071365138</v>
      </c>
      <c r="F243" s="64"/>
      <c r="G243" s="75">
        <f t="shared" si="53"/>
        <v>2525.8353580766125</v>
      </c>
      <c r="H243" s="75">
        <f t="shared" si="57"/>
        <v>1160.4444444444443</v>
      </c>
      <c r="I243" s="75">
        <f t="shared" si="54"/>
        <v>1365.3909136321679</v>
      </c>
      <c r="J243" s="75">
        <f t="shared" si="55"/>
        <v>142734.6666666682</v>
      </c>
      <c r="K243" s="69"/>
      <c r="L243" s="75">
        <f t="shared" si="58"/>
        <v>2472.2485465485865</v>
      </c>
      <c r="M243" s="75">
        <f t="shared" si="59"/>
        <v>1183.6828653516416</v>
      </c>
      <c r="N243" s="75">
        <f t="shared" si="60"/>
        <v>1288.565681196945</v>
      </c>
      <c r="O243" s="75">
        <f t="shared" si="56"/>
        <v>134615.01040158779</v>
      </c>
      <c r="T243" s="74"/>
    </row>
    <row r="244" spans="1:20" s="61" customFormat="1" outlineLevel="1" x14ac:dyDescent="0.25">
      <c r="A244" s="71">
        <v>238</v>
      </c>
      <c r="B244" s="75">
        <f t="shared" si="49"/>
        <v>4100.9182743504389</v>
      </c>
      <c r="C244" s="75">
        <f t="shared" si="50"/>
        <v>1283.5015045976013</v>
      </c>
      <c r="D244" s="75">
        <f t="shared" si="51"/>
        <v>2817.4167697528378</v>
      </c>
      <c r="E244" s="75">
        <f t="shared" si="52"/>
        <v>295636.95920905378</v>
      </c>
      <c r="F244" s="64"/>
      <c r="G244" s="75">
        <f t="shared" si="53"/>
        <v>2514.8241410311916</v>
      </c>
      <c r="H244" s="75">
        <f t="shared" si="57"/>
        <v>1160.4444444444443</v>
      </c>
      <c r="I244" s="75">
        <f t="shared" si="54"/>
        <v>1354.3796965867473</v>
      </c>
      <c r="J244" s="75">
        <f t="shared" si="55"/>
        <v>141574.22222222376</v>
      </c>
      <c r="K244" s="69"/>
      <c r="L244" s="75">
        <f t="shared" si="58"/>
        <v>2472.2485465485865</v>
      </c>
      <c r="M244" s="75">
        <f t="shared" si="59"/>
        <v>1194.9145869611771</v>
      </c>
      <c r="N244" s="75">
        <f t="shared" si="60"/>
        <v>1277.3339595874095</v>
      </c>
      <c r="O244" s="75">
        <f t="shared" si="56"/>
        <v>133420.09581462661</v>
      </c>
      <c r="T244" s="74"/>
    </row>
    <row r="245" spans="1:20" s="61" customFormat="1" outlineLevel="1" x14ac:dyDescent="0.25">
      <c r="A245" s="71">
        <v>239</v>
      </c>
      <c r="B245" s="75">
        <f t="shared" si="49"/>
        <v>4100.9182743504398</v>
      </c>
      <c r="C245" s="75">
        <f t="shared" si="50"/>
        <v>1295.680384605954</v>
      </c>
      <c r="D245" s="75">
        <f t="shared" si="51"/>
        <v>2805.2378897444855</v>
      </c>
      <c r="E245" s="75">
        <f t="shared" si="52"/>
        <v>294341.27882444783</v>
      </c>
      <c r="F245" s="64"/>
      <c r="G245" s="75">
        <f t="shared" si="53"/>
        <v>2503.8129239857712</v>
      </c>
      <c r="H245" s="75">
        <f t="shared" si="57"/>
        <v>1160.4444444444443</v>
      </c>
      <c r="I245" s="75">
        <f t="shared" si="54"/>
        <v>1343.3684795413269</v>
      </c>
      <c r="J245" s="75">
        <f t="shared" si="55"/>
        <v>140413.77777777932</v>
      </c>
      <c r="K245" s="69"/>
      <c r="L245" s="75">
        <f t="shared" si="58"/>
        <v>2472.2485465485865</v>
      </c>
      <c r="M245" s="75">
        <f t="shared" si="59"/>
        <v>1206.2528840513646</v>
      </c>
      <c r="N245" s="75">
        <f t="shared" si="60"/>
        <v>1265.9956624972219</v>
      </c>
      <c r="O245" s="75">
        <f t="shared" si="56"/>
        <v>132213.84293057525</v>
      </c>
      <c r="T245" s="74"/>
    </row>
    <row r="246" spans="1:20" s="61" customFormat="1" x14ac:dyDescent="0.25">
      <c r="A246" s="69">
        <v>240</v>
      </c>
      <c r="B246" s="73">
        <f t="shared" si="49"/>
        <v>4100.9182743504389</v>
      </c>
      <c r="C246" s="73">
        <f t="shared" si="50"/>
        <v>1307.9748274848807</v>
      </c>
      <c r="D246" s="73">
        <f t="shared" si="51"/>
        <v>2792.9434468655586</v>
      </c>
      <c r="E246" s="73">
        <f t="shared" si="52"/>
        <v>293033.30399696296</v>
      </c>
      <c r="F246" s="64"/>
      <c r="G246" s="73">
        <f t="shared" si="53"/>
        <v>2492.8017069403504</v>
      </c>
      <c r="H246" s="73">
        <f t="shared" si="57"/>
        <v>1160.4444444444443</v>
      </c>
      <c r="I246" s="73">
        <f t="shared" si="54"/>
        <v>1332.3572624959063</v>
      </c>
      <c r="J246" s="73">
        <f t="shared" si="55"/>
        <v>139253.33333333489</v>
      </c>
      <c r="K246" s="69"/>
      <c r="L246" s="73">
        <f t="shared" si="58"/>
        <v>2472.2485465485865</v>
      </c>
      <c r="M246" s="73">
        <f t="shared" si="59"/>
        <v>1217.6987678948715</v>
      </c>
      <c r="N246" s="73">
        <f t="shared" si="60"/>
        <v>1254.5497786537151</v>
      </c>
      <c r="O246" s="73">
        <f t="shared" si="56"/>
        <v>130996.14416268039</v>
      </c>
      <c r="T246" s="74"/>
    </row>
    <row r="247" spans="1:20" s="61" customFormat="1" outlineLevel="1" x14ac:dyDescent="0.25">
      <c r="A247" s="71">
        <v>241</v>
      </c>
      <c r="B247" s="75">
        <f t="shared" si="49"/>
        <v>4100.9182743504389</v>
      </c>
      <c r="C247" s="75">
        <f t="shared" si="50"/>
        <v>1320.3859297865315</v>
      </c>
      <c r="D247" s="75">
        <f t="shared" si="51"/>
        <v>2780.5323445639078</v>
      </c>
      <c r="E247" s="75">
        <f t="shared" si="52"/>
        <v>291712.91806717642</v>
      </c>
      <c r="F247" s="64"/>
      <c r="G247" s="75">
        <f t="shared" si="53"/>
        <v>2481.79048989493</v>
      </c>
      <c r="H247" s="75">
        <f t="shared" si="57"/>
        <v>1160.4444444444443</v>
      </c>
      <c r="I247" s="75">
        <f t="shared" si="54"/>
        <v>1321.3460454504857</v>
      </c>
      <c r="J247" s="75">
        <f t="shared" si="55"/>
        <v>138092.88888889045</v>
      </c>
      <c r="K247" s="69"/>
      <c r="L247" s="75">
        <f>+M247+N247</f>
        <v>2334.6298218774668</v>
      </c>
      <c r="M247" s="75">
        <f>IF(O246&lt;0,0,+O246/($C$3-A246))</f>
        <v>1091.6345346890032</v>
      </c>
      <c r="N247" s="75">
        <f t="shared" si="60"/>
        <v>1242.9952871884636</v>
      </c>
      <c r="O247" s="75">
        <f t="shared" si="56"/>
        <v>129904.50962799139</v>
      </c>
      <c r="T247" s="74"/>
    </row>
    <row r="248" spans="1:20" s="61" customFormat="1" outlineLevel="1" x14ac:dyDescent="0.25">
      <c r="A248" s="71">
        <v>242</v>
      </c>
      <c r="B248" s="75">
        <f t="shared" si="49"/>
        <v>4100.9182743504389</v>
      </c>
      <c r="C248" s="75">
        <f t="shared" si="50"/>
        <v>1332.914798468013</v>
      </c>
      <c r="D248" s="75">
        <f t="shared" si="51"/>
        <v>2768.0034758824263</v>
      </c>
      <c r="E248" s="75">
        <f t="shared" si="52"/>
        <v>290380.00326870842</v>
      </c>
      <c r="F248" s="64"/>
      <c r="G248" s="75">
        <f t="shared" si="53"/>
        <v>2470.7792728495097</v>
      </c>
      <c r="H248" s="75">
        <f t="shared" si="57"/>
        <v>1160.4444444444443</v>
      </c>
      <c r="I248" s="75">
        <f t="shared" si="54"/>
        <v>1310.3348284050653</v>
      </c>
      <c r="J248" s="75">
        <f t="shared" si="55"/>
        <v>136932.44444444601</v>
      </c>
      <c r="K248" s="69"/>
      <c r="L248" s="75">
        <f t="shared" si="58"/>
        <v>2334.6298218774668</v>
      </c>
      <c r="M248" s="75">
        <f t="shared" si="59"/>
        <v>1101.992828748907</v>
      </c>
      <c r="N248" s="75">
        <f t="shared" si="60"/>
        <v>1232.6369931285599</v>
      </c>
      <c r="O248" s="75">
        <f t="shared" si="56"/>
        <v>128802.51679924248</v>
      </c>
      <c r="T248" s="74"/>
    </row>
    <row r="249" spans="1:20" s="61" customFormat="1" outlineLevel="1" x14ac:dyDescent="0.25">
      <c r="A249" s="71">
        <v>243</v>
      </c>
      <c r="B249" s="75">
        <f t="shared" si="49"/>
        <v>4100.9182743504398</v>
      </c>
      <c r="C249" s="75">
        <f t="shared" si="50"/>
        <v>1345.5625509901176</v>
      </c>
      <c r="D249" s="75">
        <f t="shared" si="51"/>
        <v>2755.3557233603224</v>
      </c>
      <c r="E249" s="75">
        <f t="shared" si="52"/>
        <v>289034.44071771827</v>
      </c>
      <c r="F249" s="64"/>
      <c r="G249" s="75">
        <f t="shared" si="53"/>
        <v>2459.7680558040893</v>
      </c>
      <c r="H249" s="75">
        <f t="shared" si="57"/>
        <v>1160.4444444444443</v>
      </c>
      <c r="I249" s="75">
        <f t="shared" si="54"/>
        <v>1299.3236113596447</v>
      </c>
      <c r="J249" s="75">
        <f t="shared" si="55"/>
        <v>135772.00000000157</v>
      </c>
      <c r="K249" s="69"/>
      <c r="L249" s="75">
        <f t="shared" si="58"/>
        <v>2334.6298218774668</v>
      </c>
      <c r="M249" s="75">
        <f t="shared" si="59"/>
        <v>1112.4494105163008</v>
      </c>
      <c r="N249" s="75">
        <f t="shared" si="60"/>
        <v>1222.1804113611661</v>
      </c>
      <c r="O249" s="75">
        <f t="shared" si="56"/>
        <v>127690.06738872618</v>
      </c>
      <c r="T249" s="74"/>
    </row>
    <row r="250" spans="1:20" s="61" customFormat="1" outlineLevel="1" x14ac:dyDescent="0.25">
      <c r="A250" s="71">
        <v>244</v>
      </c>
      <c r="B250" s="75">
        <f t="shared" si="49"/>
        <v>4100.9182743504389</v>
      </c>
      <c r="C250" s="75">
        <f t="shared" si="50"/>
        <v>1358.3303154169919</v>
      </c>
      <c r="D250" s="75">
        <f t="shared" si="51"/>
        <v>2742.5879589334472</v>
      </c>
      <c r="E250" s="75">
        <f t="shared" si="52"/>
        <v>287676.1104023013</v>
      </c>
      <c r="F250" s="64"/>
      <c r="G250" s="75">
        <f t="shared" si="53"/>
        <v>2448.7568387586684</v>
      </c>
      <c r="H250" s="75">
        <f t="shared" si="57"/>
        <v>1160.4444444444443</v>
      </c>
      <c r="I250" s="75">
        <f t="shared" si="54"/>
        <v>1288.3123943142241</v>
      </c>
      <c r="J250" s="75">
        <f t="shared" si="55"/>
        <v>134611.55555555713</v>
      </c>
      <c r="K250" s="69"/>
      <c r="L250" s="75">
        <f t="shared" si="58"/>
        <v>2334.6298218774668</v>
      </c>
      <c r="M250" s="75">
        <f t="shared" si="59"/>
        <v>1123.0052126228888</v>
      </c>
      <c r="N250" s="75">
        <f t="shared" si="60"/>
        <v>1211.624609254578</v>
      </c>
      <c r="O250" s="75">
        <f t="shared" si="56"/>
        <v>126567.0621761033</v>
      </c>
      <c r="T250" s="74"/>
    </row>
    <row r="251" spans="1:20" s="61" customFormat="1" outlineLevel="1" x14ac:dyDescent="0.25">
      <c r="A251" s="71">
        <v>245</v>
      </c>
      <c r="B251" s="75">
        <f t="shared" si="49"/>
        <v>4100.9182743504398</v>
      </c>
      <c r="C251" s="75">
        <f t="shared" si="50"/>
        <v>1371.2192305167509</v>
      </c>
      <c r="D251" s="75">
        <f t="shared" si="51"/>
        <v>2729.6990438336888</v>
      </c>
      <c r="E251" s="75">
        <f t="shared" si="52"/>
        <v>286304.89117178455</v>
      </c>
      <c r="F251" s="64"/>
      <c r="G251" s="75">
        <f t="shared" si="53"/>
        <v>2437.7456217132481</v>
      </c>
      <c r="H251" s="75">
        <f t="shared" si="57"/>
        <v>1160.4444444444443</v>
      </c>
      <c r="I251" s="75">
        <f t="shared" si="54"/>
        <v>1277.3011772688037</v>
      </c>
      <c r="J251" s="75">
        <f t="shared" si="55"/>
        <v>133451.1111111127</v>
      </c>
      <c r="K251" s="69"/>
      <c r="L251" s="75">
        <f t="shared" si="58"/>
        <v>2334.6298218774668</v>
      </c>
      <c r="M251" s="75">
        <f t="shared" si="59"/>
        <v>1133.6611765499249</v>
      </c>
      <c r="N251" s="75">
        <f t="shared" si="60"/>
        <v>1200.9686453275419</v>
      </c>
      <c r="O251" s="75">
        <f t="shared" si="56"/>
        <v>125433.40099955337</v>
      </c>
      <c r="T251" s="74"/>
    </row>
    <row r="252" spans="1:20" s="61" customFormat="1" outlineLevel="1" x14ac:dyDescent="0.25">
      <c r="A252" s="71">
        <v>246</v>
      </c>
      <c r="B252" s="75">
        <f t="shared" si="49"/>
        <v>4100.9182743504398</v>
      </c>
      <c r="C252" s="75">
        <f t="shared" si="50"/>
        <v>1384.2304458630426</v>
      </c>
      <c r="D252" s="75">
        <f t="shared" si="51"/>
        <v>2716.6878284873969</v>
      </c>
      <c r="E252" s="75">
        <f t="shared" si="52"/>
        <v>284920.66072592151</v>
      </c>
      <c r="F252" s="64"/>
      <c r="G252" s="75">
        <f t="shared" si="53"/>
        <v>2426.7344046678272</v>
      </c>
      <c r="H252" s="75">
        <f t="shared" si="57"/>
        <v>1160.4444444444443</v>
      </c>
      <c r="I252" s="75">
        <f t="shared" si="54"/>
        <v>1266.2899602233831</v>
      </c>
      <c r="J252" s="75">
        <f t="shared" si="55"/>
        <v>132290.66666666826</v>
      </c>
      <c r="K252" s="69"/>
      <c r="L252" s="75">
        <f t="shared" si="58"/>
        <v>2334.6298218774668</v>
      </c>
      <c r="M252" s="75">
        <f t="shared" si="59"/>
        <v>1144.4182527121829</v>
      </c>
      <c r="N252" s="75">
        <f t="shared" si="60"/>
        <v>1190.2115691652839</v>
      </c>
      <c r="O252" s="75">
        <f t="shared" si="56"/>
        <v>124288.98274684118</v>
      </c>
      <c r="T252" s="74"/>
    </row>
    <row r="253" spans="1:20" s="61" customFormat="1" outlineLevel="1" x14ac:dyDescent="0.25">
      <c r="A253" s="71">
        <v>247</v>
      </c>
      <c r="B253" s="75">
        <f t="shared" si="49"/>
        <v>4100.9182743504389</v>
      </c>
      <c r="C253" s="75">
        <f t="shared" si="50"/>
        <v>1397.3651219375824</v>
      </c>
      <c r="D253" s="75">
        <f t="shared" si="51"/>
        <v>2703.5531524128569</v>
      </c>
      <c r="E253" s="75">
        <f t="shared" si="52"/>
        <v>283523.29560398392</v>
      </c>
      <c r="F253" s="64"/>
      <c r="G253" s="75">
        <f t="shared" si="53"/>
        <v>2415.7231876224068</v>
      </c>
      <c r="H253" s="75">
        <f t="shared" si="57"/>
        <v>1160.4444444444443</v>
      </c>
      <c r="I253" s="75">
        <f t="shared" si="54"/>
        <v>1255.2787431779625</v>
      </c>
      <c r="J253" s="75">
        <f t="shared" si="55"/>
        <v>131130.22222222382</v>
      </c>
      <c r="K253" s="69"/>
      <c r="L253" s="75">
        <f t="shared" si="58"/>
        <v>2334.6298218774668</v>
      </c>
      <c r="M253" s="75">
        <f t="shared" si="59"/>
        <v>1155.2774005427261</v>
      </c>
      <c r="N253" s="75">
        <f t="shared" si="60"/>
        <v>1179.3524213347407</v>
      </c>
      <c r="O253" s="75">
        <f t="shared" si="56"/>
        <v>123133.70534629846</v>
      </c>
      <c r="T253" s="74"/>
    </row>
    <row r="254" spans="1:20" s="61" customFormat="1" outlineLevel="1" x14ac:dyDescent="0.25">
      <c r="A254" s="71">
        <v>248</v>
      </c>
      <c r="B254" s="75">
        <f t="shared" ref="B254:B317" si="61">+D254+C254</f>
        <v>4100.9182743504398</v>
      </c>
      <c r="C254" s="75">
        <f t="shared" ref="C254:C317" si="62">IF(A254&gt;$C$3,0,PPMT($C$2,A254,$C$3,-$F$1))</f>
        <v>1410.6244302336565</v>
      </c>
      <c r="D254" s="75">
        <f t="shared" ref="D254:D317" si="63">+E253*$C$2</f>
        <v>2690.293844116783</v>
      </c>
      <c r="E254" s="75">
        <f t="shared" ref="E254:E317" si="64">+E253-C254</f>
        <v>282112.67117375025</v>
      </c>
      <c r="F254" s="64"/>
      <c r="G254" s="75">
        <f t="shared" ref="G254:G317" si="65">+I254+H254</f>
        <v>2404.7119705769865</v>
      </c>
      <c r="H254" s="75">
        <f t="shared" si="57"/>
        <v>1160.4444444444443</v>
      </c>
      <c r="I254" s="75">
        <f t="shared" ref="I254:I317" si="66">+J253*$C$2</f>
        <v>1244.2675261325421</v>
      </c>
      <c r="J254" s="75">
        <f t="shared" ref="J254:J317" si="67">+J253-H254</f>
        <v>129969.77777777938</v>
      </c>
      <c r="K254" s="69"/>
      <c r="L254" s="75">
        <f t="shared" si="58"/>
        <v>2334.6298218774668</v>
      </c>
      <c r="M254" s="75">
        <f t="shared" si="59"/>
        <v>1166.2395885784795</v>
      </c>
      <c r="N254" s="75">
        <f t="shared" si="60"/>
        <v>1168.3902332989874</v>
      </c>
      <c r="O254" s="75">
        <f t="shared" ref="O254:O317" si="68">IF(A254&gt;$C$3,0,+O253-M254)</f>
        <v>121967.46575771998</v>
      </c>
      <c r="T254" s="74"/>
    </row>
    <row r="255" spans="1:20" s="61" customFormat="1" outlineLevel="1" x14ac:dyDescent="0.25">
      <c r="A255" s="71">
        <v>249</v>
      </c>
      <c r="B255" s="75">
        <f t="shared" si="61"/>
        <v>4100.9182743504398</v>
      </c>
      <c r="C255" s="75">
        <f t="shared" si="62"/>
        <v>1424.0095533606082</v>
      </c>
      <c r="D255" s="75">
        <f t="shared" si="63"/>
        <v>2676.9087209898316</v>
      </c>
      <c r="E255" s="75">
        <f t="shared" si="64"/>
        <v>280688.66162038961</v>
      </c>
      <c r="F255" s="64"/>
      <c r="G255" s="75">
        <f t="shared" si="65"/>
        <v>2393.7007535315661</v>
      </c>
      <c r="H255" s="75">
        <f t="shared" si="57"/>
        <v>1160.4444444444443</v>
      </c>
      <c r="I255" s="75">
        <f t="shared" si="66"/>
        <v>1233.2563090871215</v>
      </c>
      <c r="J255" s="75">
        <f t="shared" si="67"/>
        <v>128809.33333333494</v>
      </c>
      <c r="K255" s="69"/>
      <c r="L255" s="75">
        <f t="shared" si="58"/>
        <v>2334.6298218774668</v>
      </c>
      <c r="M255" s="75">
        <f t="shared" si="59"/>
        <v>1177.3057945466139</v>
      </c>
      <c r="N255" s="75">
        <f t="shared" si="60"/>
        <v>1157.3240273308529</v>
      </c>
      <c r="O255" s="75">
        <f t="shared" si="68"/>
        <v>120790.15996317337</v>
      </c>
      <c r="T255" s="74"/>
    </row>
    <row r="256" spans="1:20" s="61" customFormat="1" outlineLevel="1" x14ac:dyDescent="0.25">
      <c r="A256" s="71">
        <v>250</v>
      </c>
      <c r="B256" s="75">
        <f t="shared" si="61"/>
        <v>4100.9182743504389</v>
      </c>
      <c r="C256" s="75">
        <f t="shared" si="62"/>
        <v>1437.5216851493149</v>
      </c>
      <c r="D256" s="75">
        <f t="shared" si="63"/>
        <v>2663.3965892011242</v>
      </c>
      <c r="E256" s="75">
        <f t="shared" si="64"/>
        <v>279251.13993524032</v>
      </c>
      <c r="F256" s="64"/>
      <c r="G256" s="75">
        <f t="shared" si="65"/>
        <v>2382.6895364861452</v>
      </c>
      <c r="H256" s="75">
        <f t="shared" si="57"/>
        <v>1160.4444444444443</v>
      </c>
      <c r="I256" s="75">
        <f t="shared" si="66"/>
        <v>1222.2450920417009</v>
      </c>
      <c r="J256" s="75">
        <f t="shared" si="67"/>
        <v>127648.88888889051</v>
      </c>
      <c r="K256" s="69"/>
      <c r="L256" s="75">
        <f t="shared" si="58"/>
        <v>2334.6298218774668</v>
      </c>
      <c r="M256" s="75">
        <f t="shared" si="59"/>
        <v>1188.4770054517514</v>
      </c>
      <c r="N256" s="75">
        <f t="shared" si="60"/>
        <v>1146.1528164257154</v>
      </c>
      <c r="O256" s="75">
        <f t="shared" si="68"/>
        <v>119601.68295772161</v>
      </c>
      <c r="T256" s="74"/>
    </row>
    <row r="257" spans="1:20" s="61" customFormat="1" outlineLevel="1" x14ac:dyDescent="0.25">
      <c r="A257" s="71">
        <v>251</v>
      </c>
      <c r="B257" s="75">
        <f t="shared" si="61"/>
        <v>4100.9182743504389</v>
      </c>
      <c r="C257" s="75">
        <f t="shared" si="62"/>
        <v>1451.1620307586695</v>
      </c>
      <c r="D257" s="75">
        <f t="shared" si="63"/>
        <v>2649.7562435917698</v>
      </c>
      <c r="E257" s="75">
        <f t="shared" si="64"/>
        <v>277799.97790448164</v>
      </c>
      <c r="F257" s="64"/>
      <c r="G257" s="75">
        <f t="shared" si="65"/>
        <v>2371.6783194407249</v>
      </c>
      <c r="H257" s="75">
        <f t="shared" si="57"/>
        <v>1160.4444444444443</v>
      </c>
      <c r="I257" s="75">
        <f t="shared" si="66"/>
        <v>1211.2338749962805</v>
      </c>
      <c r="J257" s="75">
        <f t="shared" si="67"/>
        <v>126488.44444444607</v>
      </c>
      <c r="K257" s="69"/>
      <c r="L257" s="75">
        <f t="shared" si="58"/>
        <v>2334.6298218774668</v>
      </c>
      <c r="M257" s="75">
        <f t="shared" si="59"/>
        <v>1199.7542176639965</v>
      </c>
      <c r="N257" s="75">
        <f t="shared" si="60"/>
        <v>1134.8756042134703</v>
      </c>
      <c r="O257" s="75">
        <f t="shared" si="68"/>
        <v>118401.92874005761</v>
      </c>
      <c r="T257" s="74"/>
    </row>
    <row r="258" spans="1:20" s="61" customFormat="1" x14ac:dyDescent="0.25">
      <c r="A258" s="69">
        <v>252</v>
      </c>
      <c r="B258" s="73">
        <f t="shared" si="61"/>
        <v>4100.9182743504398</v>
      </c>
      <c r="C258" s="73">
        <f t="shared" si="62"/>
        <v>1464.9318067830679</v>
      </c>
      <c r="D258" s="73">
        <f t="shared" si="63"/>
        <v>2635.9864675673716</v>
      </c>
      <c r="E258" s="73">
        <f t="shared" si="64"/>
        <v>276335.04609769856</v>
      </c>
      <c r="F258" s="64"/>
      <c r="G258" s="73">
        <f t="shared" si="65"/>
        <v>2360.667102395304</v>
      </c>
      <c r="H258" s="73">
        <f t="shared" si="57"/>
        <v>1160.4444444444443</v>
      </c>
      <c r="I258" s="73">
        <f t="shared" si="66"/>
        <v>1200.2226579508599</v>
      </c>
      <c r="J258" s="73">
        <f t="shared" si="67"/>
        <v>125328.00000000163</v>
      </c>
      <c r="K258" s="69"/>
      <c r="L258" s="73">
        <f t="shared" si="58"/>
        <v>2334.6298218774668</v>
      </c>
      <c r="M258" s="73">
        <f t="shared" si="59"/>
        <v>1211.1384370078028</v>
      </c>
      <c r="N258" s="73">
        <f t="shared" si="60"/>
        <v>1123.491384869664</v>
      </c>
      <c r="O258" s="73">
        <f t="shared" si="68"/>
        <v>117190.79030304981</v>
      </c>
      <c r="T258" s="74"/>
    </row>
    <row r="259" spans="1:20" s="61" customFormat="1" outlineLevel="1" x14ac:dyDescent="0.25">
      <c r="A259" s="71">
        <v>253</v>
      </c>
      <c r="B259" s="75">
        <f t="shared" si="61"/>
        <v>4100.9182743504389</v>
      </c>
      <c r="C259" s="75">
        <f t="shared" si="62"/>
        <v>1478.8322413609169</v>
      </c>
      <c r="D259" s="75">
        <f t="shared" si="63"/>
        <v>2622.0860329895222</v>
      </c>
      <c r="E259" s="75">
        <f t="shared" si="64"/>
        <v>274856.21385633765</v>
      </c>
      <c r="F259" s="64"/>
      <c r="G259" s="75">
        <f t="shared" si="65"/>
        <v>2349.6558853498836</v>
      </c>
      <c r="H259" s="75">
        <f t="shared" si="57"/>
        <v>1160.4444444444443</v>
      </c>
      <c r="I259" s="75">
        <f t="shared" si="66"/>
        <v>1189.2114409054395</v>
      </c>
      <c r="J259" s="75">
        <f t="shared" si="67"/>
        <v>124167.55555555719</v>
      </c>
      <c r="K259" s="69"/>
      <c r="L259" s="75">
        <f>+M259+N259</f>
        <v>2197.0990532392066</v>
      </c>
      <c r="M259" s="75">
        <f>IF(O258&lt;0,0,+O258/($C$3-A258))</f>
        <v>1085.0999102134242</v>
      </c>
      <c r="N259" s="75">
        <f t="shared" si="60"/>
        <v>1111.9991430257824</v>
      </c>
      <c r="O259" s="75">
        <f t="shared" si="68"/>
        <v>116105.69039283639</v>
      </c>
      <c r="T259" s="74"/>
    </row>
    <row r="260" spans="1:20" s="61" customFormat="1" outlineLevel="1" x14ac:dyDescent="0.25">
      <c r="A260" s="71">
        <v>254</v>
      </c>
      <c r="B260" s="75">
        <f t="shared" si="61"/>
        <v>4100.9182743504389</v>
      </c>
      <c r="C260" s="75">
        <f t="shared" si="62"/>
        <v>1492.8645742841759</v>
      </c>
      <c r="D260" s="75">
        <f t="shared" si="63"/>
        <v>2608.0537000662634</v>
      </c>
      <c r="E260" s="75">
        <f t="shared" si="64"/>
        <v>273363.34928205347</v>
      </c>
      <c r="F260" s="64"/>
      <c r="G260" s="75">
        <f t="shared" si="65"/>
        <v>2338.6446683044633</v>
      </c>
      <c r="H260" s="75">
        <f t="shared" si="57"/>
        <v>1160.4444444444443</v>
      </c>
      <c r="I260" s="75">
        <f t="shared" si="66"/>
        <v>1178.2002238600189</v>
      </c>
      <c r="J260" s="75">
        <f t="shared" si="67"/>
        <v>123007.11111111275</v>
      </c>
      <c r="K260" s="69"/>
      <c r="L260" s="75">
        <f t="shared" si="58"/>
        <v>2197.0990532392066</v>
      </c>
      <c r="M260" s="75">
        <f t="shared" si="59"/>
        <v>1095.396198574774</v>
      </c>
      <c r="N260" s="75">
        <f t="shared" si="60"/>
        <v>1101.7028546644326</v>
      </c>
      <c r="O260" s="75">
        <f t="shared" si="68"/>
        <v>115010.29419426162</v>
      </c>
      <c r="T260" s="74"/>
    </row>
    <row r="261" spans="1:20" s="61" customFormat="1" outlineLevel="1" x14ac:dyDescent="0.25">
      <c r="A261" s="71">
        <v>255</v>
      </c>
      <c r="B261" s="75">
        <f t="shared" si="61"/>
        <v>4100.9182743504398</v>
      </c>
      <c r="C261" s="75">
        <f t="shared" si="62"/>
        <v>1507.0300571089333</v>
      </c>
      <c r="D261" s="75">
        <f t="shared" si="63"/>
        <v>2593.8882172415065</v>
      </c>
      <c r="E261" s="75">
        <f t="shared" si="64"/>
        <v>271856.31922494451</v>
      </c>
      <c r="F261" s="64"/>
      <c r="G261" s="75">
        <f t="shared" si="65"/>
        <v>2327.6334512590429</v>
      </c>
      <c r="H261" s="75">
        <f t="shared" si="57"/>
        <v>1160.4444444444443</v>
      </c>
      <c r="I261" s="75">
        <f t="shared" si="66"/>
        <v>1167.1890068145983</v>
      </c>
      <c r="J261" s="75">
        <f t="shared" si="67"/>
        <v>121846.66666666832</v>
      </c>
      <c r="K261" s="69"/>
      <c r="L261" s="75">
        <f t="shared" si="58"/>
        <v>2197.0990532392066</v>
      </c>
      <c r="M261" s="75">
        <f t="shared" si="59"/>
        <v>1105.7901862843794</v>
      </c>
      <c r="N261" s="75">
        <f t="shared" si="60"/>
        <v>1091.3088669548272</v>
      </c>
      <c r="O261" s="75">
        <f t="shared" si="68"/>
        <v>113904.50400797723</v>
      </c>
      <c r="T261" s="74"/>
    </row>
    <row r="262" spans="1:20" s="61" customFormat="1" outlineLevel="1" x14ac:dyDescent="0.25">
      <c r="A262" s="71">
        <v>256</v>
      </c>
      <c r="B262" s="75">
        <f t="shared" si="61"/>
        <v>4100.9182743504389</v>
      </c>
      <c r="C262" s="75">
        <f t="shared" si="62"/>
        <v>1521.3299532670324</v>
      </c>
      <c r="D262" s="75">
        <f t="shared" si="63"/>
        <v>2579.5883210834063</v>
      </c>
      <c r="E262" s="75">
        <f t="shared" si="64"/>
        <v>270334.98927167751</v>
      </c>
      <c r="F262" s="64"/>
      <c r="G262" s="75">
        <f t="shared" si="65"/>
        <v>2316.6222342136225</v>
      </c>
      <c r="H262" s="75">
        <f t="shared" si="57"/>
        <v>1160.4444444444443</v>
      </c>
      <c r="I262" s="75">
        <f t="shared" si="66"/>
        <v>1156.1777897691779</v>
      </c>
      <c r="J262" s="75">
        <f t="shared" si="67"/>
        <v>120686.22222222388</v>
      </c>
      <c r="K262" s="69"/>
      <c r="L262" s="75">
        <f t="shared" si="58"/>
        <v>2197.0990532392066</v>
      </c>
      <c r="M262" s="75">
        <f t="shared" si="59"/>
        <v>1116.2828003911261</v>
      </c>
      <c r="N262" s="75">
        <f t="shared" si="60"/>
        <v>1080.8162528480805</v>
      </c>
      <c r="O262" s="75">
        <f t="shared" si="68"/>
        <v>112788.2212075861</v>
      </c>
      <c r="T262" s="74"/>
    </row>
    <row r="263" spans="1:20" s="61" customFormat="1" outlineLevel="1" x14ac:dyDescent="0.25">
      <c r="A263" s="71">
        <v>257</v>
      </c>
      <c r="B263" s="75">
        <f t="shared" si="61"/>
        <v>4100.9182743504389</v>
      </c>
      <c r="C263" s="75">
        <f t="shared" si="62"/>
        <v>1535.7655381787622</v>
      </c>
      <c r="D263" s="75">
        <f t="shared" si="63"/>
        <v>2565.1527361716771</v>
      </c>
      <c r="E263" s="75">
        <f t="shared" si="64"/>
        <v>268799.22373349877</v>
      </c>
      <c r="F263" s="64"/>
      <c r="G263" s="75">
        <f t="shared" si="65"/>
        <v>2305.6110171682017</v>
      </c>
      <c r="H263" s="75">
        <f t="shared" si="57"/>
        <v>1160.4444444444443</v>
      </c>
      <c r="I263" s="75">
        <f t="shared" si="66"/>
        <v>1145.1665727237573</v>
      </c>
      <c r="J263" s="75">
        <f t="shared" si="67"/>
        <v>119525.77777777944</v>
      </c>
      <c r="K263" s="69"/>
      <c r="L263" s="75">
        <f t="shared" si="58"/>
        <v>2197.0990532392066</v>
      </c>
      <c r="M263" s="75">
        <f t="shared" si="59"/>
        <v>1126.8749767404738</v>
      </c>
      <c r="N263" s="75">
        <f t="shared" si="60"/>
        <v>1070.2240764987328</v>
      </c>
      <c r="O263" s="75">
        <f t="shared" si="68"/>
        <v>111661.34623084562</v>
      </c>
      <c r="T263" s="74"/>
    </row>
    <row r="264" spans="1:20" s="61" customFormat="1" outlineLevel="1" x14ac:dyDescent="0.25">
      <c r="A264" s="71">
        <v>258</v>
      </c>
      <c r="B264" s="75">
        <f t="shared" si="61"/>
        <v>4100.9182743504398</v>
      </c>
      <c r="C264" s="75">
        <f t="shared" si="62"/>
        <v>1550.338099366609</v>
      </c>
      <c r="D264" s="75">
        <f t="shared" si="63"/>
        <v>2550.5801749838306</v>
      </c>
      <c r="E264" s="75">
        <f t="shared" si="64"/>
        <v>267248.88563413214</v>
      </c>
      <c r="F264" s="64"/>
      <c r="G264" s="75">
        <f t="shared" si="65"/>
        <v>2294.5998001227808</v>
      </c>
      <c r="H264" s="75">
        <f t="shared" ref="H264:H327" si="69">IF(A264&gt;$C$3,0,+$F$2/$C$3)</f>
        <v>1160.4444444444443</v>
      </c>
      <c r="I264" s="75">
        <f t="shared" si="66"/>
        <v>1134.1553556783367</v>
      </c>
      <c r="J264" s="75">
        <f t="shared" si="67"/>
        <v>118365.333333335</v>
      </c>
      <c r="K264" s="69"/>
      <c r="L264" s="75">
        <f t="shared" si="58"/>
        <v>2197.0990532392066</v>
      </c>
      <c r="M264" s="75">
        <f t="shared" si="59"/>
        <v>1137.5676600579275</v>
      </c>
      <c r="N264" s="75">
        <f t="shared" si="60"/>
        <v>1059.5313931812791</v>
      </c>
      <c r="O264" s="75">
        <f t="shared" si="68"/>
        <v>110523.77857078769</v>
      </c>
      <c r="T264" s="74"/>
    </row>
    <row r="265" spans="1:20" s="61" customFormat="1" outlineLevel="1" x14ac:dyDescent="0.25">
      <c r="A265" s="71">
        <v>259</v>
      </c>
      <c r="B265" s="75">
        <f t="shared" si="61"/>
        <v>4100.9182743504389</v>
      </c>
      <c r="C265" s="75">
        <f t="shared" si="62"/>
        <v>1565.0489365700935</v>
      </c>
      <c r="D265" s="75">
        <f t="shared" si="63"/>
        <v>2535.8693377803456</v>
      </c>
      <c r="E265" s="75">
        <f t="shared" si="64"/>
        <v>265683.83669756202</v>
      </c>
      <c r="F265" s="64"/>
      <c r="G265" s="75">
        <f t="shared" si="65"/>
        <v>2283.5885830773605</v>
      </c>
      <c r="H265" s="75">
        <f t="shared" si="69"/>
        <v>1160.4444444444443</v>
      </c>
      <c r="I265" s="75">
        <f t="shared" si="66"/>
        <v>1123.1441386329163</v>
      </c>
      <c r="J265" s="75">
        <f t="shared" si="67"/>
        <v>117204.88888889056</v>
      </c>
      <c r="K265" s="69"/>
      <c r="L265" s="75">
        <f t="shared" ref="L265:L328" si="70">+L264</f>
        <v>2197.0990532392066</v>
      </c>
      <c r="M265" s="75">
        <f t="shared" ref="M265:M328" si="71">+L265-N265</f>
        <v>1148.3618040332954</v>
      </c>
      <c r="N265" s="75">
        <f t="shared" ref="N265:N328" si="72">IF(A265&gt;$C$3,0,+O264*($C$2))</f>
        <v>1048.7372492059112</v>
      </c>
      <c r="O265" s="75">
        <f t="shared" si="68"/>
        <v>109375.4167667544</v>
      </c>
      <c r="T265" s="74"/>
    </row>
    <row r="266" spans="1:20" s="61" customFormat="1" outlineLevel="1" x14ac:dyDescent="0.25">
      <c r="A266" s="71">
        <v>260</v>
      </c>
      <c r="B266" s="75">
        <f t="shared" si="61"/>
        <v>4100.9182743504389</v>
      </c>
      <c r="C266" s="75">
        <f t="shared" si="62"/>
        <v>1579.8993618616969</v>
      </c>
      <c r="D266" s="75">
        <f t="shared" si="63"/>
        <v>2521.018912488742</v>
      </c>
      <c r="E266" s="75">
        <f t="shared" si="64"/>
        <v>264103.93733570032</v>
      </c>
      <c r="F266" s="64"/>
      <c r="G266" s="75">
        <f t="shared" si="65"/>
        <v>2272.5773660319401</v>
      </c>
      <c r="H266" s="75">
        <f t="shared" si="69"/>
        <v>1160.4444444444443</v>
      </c>
      <c r="I266" s="75">
        <f t="shared" si="66"/>
        <v>1112.1329215874957</v>
      </c>
      <c r="J266" s="75">
        <f t="shared" si="67"/>
        <v>116044.44444444613</v>
      </c>
      <c r="K266" s="69"/>
      <c r="L266" s="75">
        <f t="shared" si="70"/>
        <v>2197.0990532392066</v>
      </c>
      <c r="M266" s="75">
        <f t="shared" si="71"/>
        <v>1159.2583714057514</v>
      </c>
      <c r="N266" s="75">
        <f t="shared" si="72"/>
        <v>1037.8406818334552</v>
      </c>
      <c r="O266" s="75">
        <f t="shared" si="68"/>
        <v>108216.15839534864</v>
      </c>
      <c r="T266" s="74"/>
    </row>
    <row r="267" spans="1:20" s="61" customFormat="1" outlineLevel="1" x14ac:dyDescent="0.25">
      <c r="A267" s="71">
        <v>261</v>
      </c>
      <c r="B267" s="75">
        <f t="shared" si="61"/>
        <v>4100.9182743504389</v>
      </c>
      <c r="C267" s="75">
        <f t="shared" si="62"/>
        <v>1594.8906997638826</v>
      </c>
      <c r="D267" s="75">
        <f t="shared" si="63"/>
        <v>2506.0275745865565</v>
      </c>
      <c r="E267" s="75">
        <f t="shared" si="64"/>
        <v>262509.04663593642</v>
      </c>
      <c r="F267" s="64"/>
      <c r="G267" s="75">
        <f t="shared" si="65"/>
        <v>2261.5661489865197</v>
      </c>
      <c r="H267" s="75">
        <f t="shared" si="69"/>
        <v>1160.4444444444443</v>
      </c>
      <c r="I267" s="75">
        <f t="shared" si="66"/>
        <v>1101.1217045420751</v>
      </c>
      <c r="J267" s="75">
        <f t="shared" si="67"/>
        <v>114884.00000000169</v>
      </c>
      <c r="K267" s="69"/>
      <c r="L267" s="75">
        <f t="shared" si="70"/>
        <v>2197.0990532392066</v>
      </c>
      <c r="M267" s="75">
        <f t="shared" si="71"/>
        <v>1170.2583340497026</v>
      </c>
      <c r="N267" s="75">
        <f t="shared" si="72"/>
        <v>1026.8407191895039</v>
      </c>
      <c r="O267" s="75">
        <f t="shared" si="68"/>
        <v>107045.90006129893</v>
      </c>
      <c r="T267" s="74"/>
    </row>
    <row r="268" spans="1:20" s="61" customFormat="1" outlineLevel="1" x14ac:dyDescent="0.25">
      <c r="A268" s="71">
        <v>262</v>
      </c>
      <c r="B268" s="75">
        <f t="shared" si="61"/>
        <v>4100.9182743504389</v>
      </c>
      <c r="C268" s="75">
        <f t="shared" si="62"/>
        <v>1610.0242873672339</v>
      </c>
      <c r="D268" s="75">
        <f t="shared" si="63"/>
        <v>2490.8939869832047</v>
      </c>
      <c r="E268" s="75">
        <f t="shared" si="64"/>
        <v>260899.02234856918</v>
      </c>
      <c r="F268" s="64"/>
      <c r="G268" s="75">
        <f t="shared" si="65"/>
        <v>2250.5549319410993</v>
      </c>
      <c r="H268" s="75">
        <f t="shared" si="69"/>
        <v>1160.4444444444443</v>
      </c>
      <c r="I268" s="75">
        <f t="shared" si="66"/>
        <v>1090.1104874966547</v>
      </c>
      <c r="J268" s="75">
        <f t="shared" si="67"/>
        <v>113723.55555555725</v>
      </c>
      <c r="K268" s="69"/>
      <c r="L268" s="75">
        <f t="shared" si="70"/>
        <v>2197.0990532392066</v>
      </c>
      <c r="M268" s="75">
        <f t="shared" si="71"/>
        <v>1181.3626730614706</v>
      </c>
      <c r="N268" s="75">
        <f t="shared" si="72"/>
        <v>1015.7363801777361</v>
      </c>
      <c r="O268" s="75">
        <f t="shared" si="68"/>
        <v>105864.53738823746</v>
      </c>
      <c r="T268" s="74"/>
    </row>
    <row r="269" spans="1:20" s="61" customFormat="1" outlineLevel="1" x14ac:dyDescent="0.25">
      <c r="A269" s="71">
        <v>263</v>
      </c>
      <c r="B269" s="75">
        <f t="shared" si="61"/>
        <v>4100.9182743504389</v>
      </c>
      <c r="C269" s="75">
        <f t="shared" si="62"/>
        <v>1625.3014744497116</v>
      </c>
      <c r="D269" s="75">
        <f t="shared" si="63"/>
        <v>2475.6167999007275</v>
      </c>
      <c r="E269" s="75">
        <f t="shared" si="64"/>
        <v>259273.72087411946</v>
      </c>
      <c r="F269" s="64"/>
      <c r="G269" s="75">
        <f t="shared" si="65"/>
        <v>2239.5437148956785</v>
      </c>
      <c r="H269" s="75">
        <f t="shared" si="69"/>
        <v>1160.4444444444443</v>
      </c>
      <c r="I269" s="75">
        <f t="shared" si="66"/>
        <v>1079.0992704512341</v>
      </c>
      <c r="J269" s="75">
        <f t="shared" si="67"/>
        <v>112563.11111111281</v>
      </c>
      <c r="K269" s="69"/>
      <c r="L269" s="75">
        <f t="shared" si="70"/>
        <v>2197.0990532392066</v>
      </c>
      <c r="M269" s="75">
        <f t="shared" si="71"/>
        <v>1192.5723788467963</v>
      </c>
      <c r="N269" s="75">
        <f t="shared" si="72"/>
        <v>1004.5266743924102</v>
      </c>
      <c r="O269" s="75">
        <f t="shared" si="68"/>
        <v>104671.96500939065</v>
      </c>
      <c r="T269" s="74"/>
    </row>
    <row r="270" spans="1:20" s="61" customFormat="1" x14ac:dyDescent="0.25">
      <c r="A270" s="69">
        <v>264</v>
      </c>
      <c r="B270" s="73">
        <f t="shared" si="61"/>
        <v>4100.9182743504389</v>
      </c>
      <c r="C270" s="73">
        <f t="shared" si="62"/>
        <v>1640.7236235970372</v>
      </c>
      <c r="D270" s="73">
        <f t="shared" si="63"/>
        <v>2460.1946507534017</v>
      </c>
      <c r="E270" s="73">
        <f t="shared" si="64"/>
        <v>257632.99725052243</v>
      </c>
      <c r="F270" s="64"/>
      <c r="G270" s="73">
        <f t="shared" si="65"/>
        <v>2228.5324978502576</v>
      </c>
      <c r="H270" s="73">
        <f t="shared" si="69"/>
        <v>1160.4444444444443</v>
      </c>
      <c r="I270" s="73">
        <f t="shared" si="66"/>
        <v>1068.0880534058135</v>
      </c>
      <c r="J270" s="73">
        <f t="shared" si="67"/>
        <v>111402.66666666837</v>
      </c>
      <c r="K270" s="69"/>
      <c r="L270" s="73">
        <f t="shared" si="70"/>
        <v>2197.0990532392066</v>
      </c>
      <c r="M270" s="73">
        <f t="shared" si="71"/>
        <v>1203.8884512091768</v>
      </c>
      <c r="N270" s="73">
        <f t="shared" si="72"/>
        <v>993.2106020300298</v>
      </c>
      <c r="O270" s="73">
        <f t="shared" si="68"/>
        <v>103468.07655818148</v>
      </c>
      <c r="T270" s="74"/>
    </row>
    <row r="271" spans="1:20" s="61" customFormat="1" outlineLevel="1" x14ac:dyDescent="0.25">
      <c r="A271" s="71">
        <v>265</v>
      </c>
      <c r="B271" s="75">
        <f t="shared" si="61"/>
        <v>4100.9182743504389</v>
      </c>
      <c r="C271" s="75">
        <f t="shared" si="62"/>
        <v>1656.2921103242281</v>
      </c>
      <c r="D271" s="75">
        <f t="shared" si="63"/>
        <v>2444.6261640262105</v>
      </c>
      <c r="E271" s="75">
        <f t="shared" si="64"/>
        <v>255976.7051401982</v>
      </c>
      <c r="F271" s="64"/>
      <c r="G271" s="75">
        <f t="shared" si="65"/>
        <v>2217.5212808048373</v>
      </c>
      <c r="H271" s="75">
        <f t="shared" si="69"/>
        <v>1160.4444444444443</v>
      </c>
      <c r="I271" s="75">
        <f t="shared" si="66"/>
        <v>1057.0768363603931</v>
      </c>
      <c r="J271" s="75">
        <f t="shared" si="67"/>
        <v>110242.22222222394</v>
      </c>
      <c r="K271" s="69"/>
      <c r="L271" s="75">
        <f>+M271+N271</f>
        <v>2059.5796179478939</v>
      </c>
      <c r="M271" s="75">
        <f>IF(O270&lt;0,0,+O270/($C$3-A270))</f>
        <v>1077.7924641477236</v>
      </c>
      <c r="N271" s="75">
        <f t="shared" si="72"/>
        <v>981.78715380017002</v>
      </c>
      <c r="O271" s="75">
        <f t="shared" si="68"/>
        <v>102390.28409403375</v>
      </c>
      <c r="T271" s="74"/>
    </row>
    <row r="272" spans="1:20" s="61" customFormat="1" outlineLevel="1" x14ac:dyDescent="0.25">
      <c r="A272" s="71">
        <v>266</v>
      </c>
      <c r="B272" s="75">
        <f t="shared" si="61"/>
        <v>4100.9182743504389</v>
      </c>
      <c r="C272" s="75">
        <f t="shared" si="62"/>
        <v>1672.0083231982787</v>
      </c>
      <c r="D272" s="75">
        <f t="shared" si="63"/>
        <v>2428.9099511521604</v>
      </c>
      <c r="E272" s="75">
        <f t="shared" si="64"/>
        <v>254304.69681699993</v>
      </c>
      <c r="F272" s="64"/>
      <c r="G272" s="75">
        <f t="shared" si="65"/>
        <v>2206.5100637594169</v>
      </c>
      <c r="H272" s="75">
        <f t="shared" si="69"/>
        <v>1160.4444444444443</v>
      </c>
      <c r="I272" s="75">
        <f t="shared" si="66"/>
        <v>1046.0656193149725</v>
      </c>
      <c r="J272" s="75">
        <f t="shared" si="67"/>
        <v>109081.7777777795</v>
      </c>
      <c r="K272" s="69"/>
      <c r="L272" s="75">
        <f t="shared" si="70"/>
        <v>2059.5796179478939</v>
      </c>
      <c r="M272" s="75">
        <f t="shared" si="71"/>
        <v>1088.0194136664757</v>
      </c>
      <c r="N272" s="75">
        <f t="shared" si="72"/>
        <v>971.56020428141824</v>
      </c>
      <c r="O272" s="75">
        <f t="shared" si="68"/>
        <v>101302.26468036727</v>
      </c>
      <c r="T272" s="74"/>
    </row>
    <row r="273" spans="1:20" s="61" customFormat="1" outlineLevel="1" x14ac:dyDescent="0.25">
      <c r="A273" s="71">
        <v>267</v>
      </c>
      <c r="B273" s="75">
        <f t="shared" si="61"/>
        <v>4100.9182743504389</v>
      </c>
      <c r="C273" s="75">
        <f t="shared" si="62"/>
        <v>1687.8736639620065</v>
      </c>
      <c r="D273" s="75">
        <f t="shared" si="63"/>
        <v>2413.0446103884324</v>
      </c>
      <c r="E273" s="75">
        <f t="shared" si="64"/>
        <v>252616.82315303793</v>
      </c>
      <c r="F273" s="64"/>
      <c r="G273" s="75">
        <f t="shared" si="65"/>
        <v>2195.4988467139965</v>
      </c>
      <c r="H273" s="75">
        <f t="shared" si="69"/>
        <v>1160.4444444444443</v>
      </c>
      <c r="I273" s="75">
        <f t="shared" si="66"/>
        <v>1035.0544022695519</v>
      </c>
      <c r="J273" s="75">
        <f t="shared" si="67"/>
        <v>107921.33333333506</v>
      </c>
      <c r="K273" s="69"/>
      <c r="L273" s="75">
        <f t="shared" si="70"/>
        <v>2059.5796179478939</v>
      </c>
      <c r="M273" s="75">
        <f t="shared" si="71"/>
        <v>1098.3434045915633</v>
      </c>
      <c r="N273" s="75">
        <f t="shared" si="72"/>
        <v>961.23621335633061</v>
      </c>
      <c r="O273" s="75">
        <f t="shared" si="68"/>
        <v>100203.9212757757</v>
      </c>
      <c r="T273" s="74"/>
    </row>
    <row r="274" spans="1:20" s="61" customFormat="1" outlineLevel="1" x14ac:dyDescent="0.25">
      <c r="A274" s="71">
        <v>268</v>
      </c>
      <c r="B274" s="75">
        <f t="shared" si="61"/>
        <v>4100.9182743504389</v>
      </c>
      <c r="C274" s="75">
        <f t="shared" si="62"/>
        <v>1703.8895476590778</v>
      </c>
      <c r="D274" s="75">
        <f t="shared" si="63"/>
        <v>2397.028726691361</v>
      </c>
      <c r="E274" s="75">
        <f t="shared" si="64"/>
        <v>250912.93360537884</v>
      </c>
      <c r="F274" s="64"/>
      <c r="G274" s="75">
        <f t="shared" si="65"/>
        <v>2184.4876296685761</v>
      </c>
      <c r="H274" s="75">
        <f t="shared" si="69"/>
        <v>1160.4444444444443</v>
      </c>
      <c r="I274" s="75">
        <f t="shared" si="66"/>
        <v>1024.0431852241315</v>
      </c>
      <c r="J274" s="75">
        <f t="shared" si="67"/>
        <v>106760.88888889062</v>
      </c>
      <c r="K274" s="69"/>
      <c r="L274" s="75">
        <f t="shared" si="70"/>
        <v>2059.5796179478939</v>
      </c>
      <c r="M274" s="75">
        <f t="shared" si="71"/>
        <v>1108.7653577287977</v>
      </c>
      <c r="N274" s="75">
        <f t="shared" si="72"/>
        <v>950.81426021909624</v>
      </c>
      <c r="O274" s="75">
        <f t="shared" si="68"/>
        <v>99095.155918046905</v>
      </c>
      <c r="T274" s="74"/>
    </row>
    <row r="275" spans="1:20" s="61" customFormat="1" outlineLevel="1" x14ac:dyDescent="0.25">
      <c r="A275" s="71">
        <v>269</v>
      </c>
      <c r="B275" s="75">
        <f t="shared" si="61"/>
        <v>4100.9182743504389</v>
      </c>
      <c r="C275" s="75">
        <f t="shared" si="62"/>
        <v>1720.0574027602152</v>
      </c>
      <c r="D275" s="75">
        <f t="shared" si="63"/>
        <v>2380.8608715902237</v>
      </c>
      <c r="E275" s="75">
        <f t="shared" si="64"/>
        <v>249192.87620261862</v>
      </c>
      <c r="F275" s="64"/>
      <c r="G275" s="75">
        <f t="shared" si="65"/>
        <v>2173.4764126231553</v>
      </c>
      <c r="H275" s="75">
        <f t="shared" si="69"/>
        <v>1160.4444444444443</v>
      </c>
      <c r="I275" s="75">
        <f t="shared" si="66"/>
        <v>1013.0319681787109</v>
      </c>
      <c r="J275" s="75">
        <f t="shared" si="67"/>
        <v>105600.44444444618</v>
      </c>
      <c r="K275" s="69"/>
      <c r="L275" s="75">
        <f t="shared" si="70"/>
        <v>2059.5796179478939</v>
      </c>
      <c r="M275" s="75">
        <f t="shared" si="71"/>
        <v>1119.2862026213252</v>
      </c>
      <c r="N275" s="75">
        <f t="shared" si="72"/>
        <v>940.29341532656872</v>
      </c>
      <c r="O275" s="75">
        <f t="shared" si="68"/>
        <v>97975.869715425579</v>
      </c>
      <c r="T275" s="74"/>
    </row>
    <row r="276" spans="1:20" s="61" customFormat="1" outlineLevel="1" x14ac:dyDescent="0.25">
      <c r="A276" s="71">
        <v>270</v>
      </c>
      <c r="B276" s="75">
        <f t="shared" si="61"/>
        <v>4100.9182743504389</v>
      </c>
      <c r="C276" s="75">
        <f t="shared" si="62"/>
        <v>1736.3786712906035</v>
      </c>
      <c r="D276" s="75">
        <f t="shared" si="63"/>
        <v>2364.5396030598349</v>
      </c>
      <c r="E276" s="75">
        <f t="shared" si="64"/>
        <v>247456.497531328</v>
      </c>
      <c r="F276" s="64"/>
      <c r="G276" s="75">
        <f t="shared" si="65"/>
        <v>2162.4651955777349</v>
      </c>
      <c r="H276" s="75">
        <f t="shared" si="69"/>
        <v>1160.4444444444443</v>
      </c>
      <c r="I276" s="75">
        <f t="shared" si="66"/>
        <v>1002.0207511332904</v>
      </c>
      <c r="J276" s="75">
        <f t="shared" si="67"/>
        <v>104440.00000000175</v>
      </c>
      <c r="K276" s="69"/>
      <c r="L276" s="75">
        <f t="shared" si="70"/>
        <v>2059.5796179478939</v>
      </c>
      <c r="M276" s="75">
        <f t="shared" si="71"/>
        <v>1129.9068776325348</v>
      </c>
      <c r="N276" s="75">
        <f t="shared" si="72"/>
        <v>929.67274031535919</v>
      </c>
      <c r="O276" s="75">
        <f t="shared" si="68"/>
        <v>96845.962837793049</v>
      </c>
      <c r="T276" s="74"/>
    </row>
    <row r="277" spans="1:20" s="61" customFormat="1" outlineLevel="1" x14ac:dyDescent="0.25">
      <c r="A277" s="71">
        <v>271</v>
      </c>
      <c r="B277" s="75">
        <f t="shared" si="61"/>
        <v>4100.9182743504389</v>
      </c>
      <c r="C277" s="75">
        <f t="shared" si="62"/>
        <v>1752.8548089585067</v>
      </c>
      <c r="D277" s="75">
        <f t="shared" si="63"/>
        <v>2348.0634653919319</v>
      </c>
      <c r="E277" s="75">
        <f t="shared" si="64"/>
        <v>245703.64272236949</v>
      </c>
      <c r="F277" s="64"/>
      <c r="G277" s="75">
        <f t="shared" si="65"/>
        <v>2151.4539785323141</v>
      </c>
      <c r="H277" s="75">
        <f t="shared" si="69"/>
        <v>1160.4444444444443</v>
      </c>
      <c r="I277" s="75">
        <f t="shared" si="66"/>
        <v>991.00953408786984</v>
      </c>
      <c r="J277" s="75">
        <f t="shared" si="67"/>
        <v>103279.55555555731</v>
      </c>
      <c r="K277" s="69"/>
      <c r="L277" s="75">
        <f t="shared" si="70"/>
        <v>2059.5796179478939</v>
      </c>
      <c r="M277" s="75">
        <f t="shared" si="71"/>
        <v>1140.6283300297509</v>
      </c>
      <c r="N277" s="75">
        <f t="shared" si="72"/>
        <v>918.95128791814295</v>
      </c>
      <c r="O277" s="75">
        <f t="shared" si="68"/>
        <v>95705.334507763298</v>
      </c>
      <c r="T277" s="74"/>
    </row>
    <row r="278" spans="1:20" s="61" customFormat="1" outlineLevel="1" x14ac:dyDescent="0.25">
      <c r="A278" s="71">
        <v>272</v>
      </c>
      <c r="B278" s="75">
        <f t="shared" si="61"/>
        <v>4100.9182743504389</v>
      </c>
      <c r="C278" s="75">
        <f t="shared" si="62"/>
        <v>1769.4872852851017</v>
      </c>
      <c r="D278" s="75">
        <f t="shared" si="63"/>
        <v>2331.4309890653367</v>
      </c>
      <c r="E278" s="75">
        <f t="shared" si="64"/>
        <v>243934.15543708438</v>
      </c>
      <c r="F278" s="64"/>
      <c r="G278" s="75">
        <f t="shared" si="65"/>
        <v>2140.4427614868937</v>
      </c>
      <c r="H278" s="75">
        <f t="shared" si="69"/>
        <v>1160.4444444444443</v>
      </c>
      <c r="I278" s="75">
        <f t="shared" si="66"/>
        <v>979.99831704244934</v>
      </c>
      <c r="J278" s="75">
        <f t="shared" si="67"/>
        <v>102119.11111111287</v>
      </c>
      <c r="K278" s="69"/>
      <c r="L278" s="75">
        <f t="shared" si="70"/>
        <v>2059.5796179478939</v>
      </c>
      <c r="M278" s="75">
        <f t="shared" si="71"/>
        <v>1151.4515160687224</v>
      </c>
      <c r="N278" s="75">
        <f t="shared" si="72"/>
        <v>908.12810187917137</v>
      </c>
      <c r="O278" s="75">
        <f t="shared" si="68"/>
        <v>94553.882991694583</v>
      </c>
      <c r="T278" s="74"/>
    </row>
    <row r="279" spans="1:20" s="61" customFormat="1" outlineLevel="1" x14ac:dyDescent="0.25">
      <c r="A279" s="71">
        <v>273</v>
      </c>
      <c r="B279" s="75">
        <f t="shared" si="61"/>
        <v>4100.9182743504389</v>
      </c>
      <c r="C279" s="75">
        <f t="shared" si="62"/>
        <v>1786.27758373555</v>
      </c>
      <c r="D279" s="75">
        <f t="shared" si="63"/>
        <v>2314.6406906148886</v>
      </c>
      <c r="E279" s="75">
        <f t="shared" si="64"/>
        <v>242147.87785334882</v>
      </c>
      <c r="F279" s="64"/>
      <c r="G279" s="75">
        <f t="shared" si="65"/>
        <v>2129.4315444414733</v>
      </c>
      <c r="H279" s="75">
        <f t="shared" si="69"/>
        <v>1160.4444444444443</v>
      </c>
      <c r="I279" s="75">
        <f t="shared" si="66"/>
        <v>968.98709999702885</v>
      </c>
      <c r="J279" s="75">
        <f t="shared" si="67"/>
        <v>100958.66666666843</v>
      </c>
      <c r="K279" s="69"/>
      <c r="L279" s="75">
        <f t="shared" si="70"/>
        <v>2059.5796179478939</v>
      </c>
      <c r="M279" s="75">
        <f t="shared" si="71"/>
        <v>1162.3774010789102</v>
      </c>
      <c r="N279" s="75">
        <f t="shared" si="72"/>
        <v>897.20221686898356</v>
      </c>
      <c r="O279" s="75">
        <f t="shared" si="68"/>
        <v>93391.505590615678</v>
      </c>
      <c r="T279" s="74"/>
    </row>
    <row r="280" spans="1:20" s="61" customFormat="1" outlineLevel="1" x14ac:dyDescent="0.25">
      <c r="A280" s="71">
        <v>274</v>
      </c>
      <c r="B280" s="75">
        <f t="shared" si="61"/>
        <v>4100.9182743504389</v>
      </c>
      <c r="C280" s="75">
        <f t="shared" si="62"/>
        <v>1803.2272018513038</v>
      </c>
      <c r="D280" s="75">
        <f t="shared" si="63"/>
        <v>2297.6910724991349</v>
      </c>
      <c r="E280" s="75">
        <f t="shared" si="64"/>
        <v>240344.6506514975</v>
      </c>
      <c r="F280" s="64"/>
      <c r="G280" s="75">
        <f t="shared" si="65"/>
        <v>2118.4203273960525</v>
      </c>
      <c r="H280" s="75">
        <f t="shared" si="69"/>
        <v>1160.4444444444443</v>
      </c>
      <c r="I280" s="75">
        <f t="shared" si="66"/>
        <v>957.97588295160824</v>
      </c>
      <c r="J280" s="75">
        <f t="shared" si="67"/>
        <v>99798.222222223994</v>
      </c>
      <c r="K280" s="69"/>
      <c r="L280" s="75">
        <f t="shared" si="70"/>
        <v>2059.5796179478939</v>
      </c>
      <c r="M280" s="75">
        <f t="shared" si="71"/>
        <v>1173.4069595495869</v>
      </c>
      <c r="N280" s="75">
        <f t="shared" si="72"/>
        <v>886.17265839830702</v>
      </c>
      <c r="O280" s="75">
        <f t="shared" si="68"/>
        <v>92218.098631066096</v>
      </c>
      <c r="T280" s="74"/>
    </row>
    <row r="281" spans="1:20" s="61" customFormat="1" outlineLevel="1" x14ac:dyDescent="0.25">
      <c r="A281" s="71">
        <v>275</v>
      </c>
      <c r="B281" s="75">
        <f t="shared" si="61"/>
        <v>4100.918274350438</v>
      </c>
      <c r="C281" s="75">
        <f t="shared" si="62"/>
        <v>1820.3376513836781</v>
      </c>
      <c r="D281" s="75">
        <f t="shared" si="63"/>
        <v>2280.5806229667601</v>
      </c>
      <c r="E281" s="75">
        <f t="shared" si="64"/>
        <v>238524.31300011382</v>
      </c>
      <c r="F281" s="64"/>
      <c r="G281" s="75">
        <f t="shared" si="65"/>
        <v>2107.4091103506321</v>
      </c>
      <c r="H281" s="75">
        <f t="shared" si="69"/>
        <v>1160.4444444444443</v>
      </c>
      <c r="I281" s="75">
        <f t="shared" si="66"/>
        <v>946.96466590618775</v>
      </c>
      <c r="J281" s="75">
        <f t="shared" si="67"/>
        <v>98637.777777779556</v>
      </c>
      <c r="K281" s="69"/>
      <c r="L281" s="75">
        <f t="shared" si="70"/>
        <v>2059.5796179478939</v>
      </c>
      <c r="M281" s="75">
        <f t="shared" si="71"/>
        <v>1184.5411752167515</v>
      </c>
      <c r="N281" s="75">
        <f t="shared" si="72"/>
        <v>875.03844273114237</v>
      </c>
      <c r="O281" s="75">
        <f t="shared" si="68"/>
        <v>91033.557455849339</v>
      </c>
      <c r="T281" s="74"/>
    </row>
    <row r="282" spans="1:20" s="61" customFormat="1" x14ac:dyDescent="0.25">
      <c r="A282" s="69">
        <v>276</v>
      </c>
      <c r="B282" s="73">
        <f t="shared" si="61"/>
        <v>4100.918274350438</v>
      </c>
      <c r="C282" s="73">
        <f t="shared" si="62"/>
        <v>1837.6104584286834</v>
      </c>
      <c r="D282" s="73">
        <f t="shared" si="63"/>
        <v>2263.3078159217548</v>
      </c>
      <c r="E282" s="73">
        <f t="shared" si="64"/>
        <v>236686.70254168514</v>
      </c>
      <c r="F282" s="64"/>
      <c r="G282" s="73">
        <f t="shared" si="65"/>
        <v>2096.3978933052117</v>
      </c>
      <c r="H282" s="73">
        <f t="shared" si="69"/>
        <v>1160.4444444444443</v>
      </c>
      <c r="I282" s="73">
        <f t="shared" si="66"/>
        <v>935.95344886076725</v>
      </c>
      <c r="J282" s="73">
        <f t="shared" si="67"/>
        <v>97477.333333335118</v>
      </c>
      <c r="K282" s="69"/>
      <c r="L282" s="73">
        <f t="shared" si="70"/>
        <v>2059.5796179478939</v>
      </c>
      <c r="M282" s="73">
        <f t="shared" si="71"/>
        <v>1195.7810411508708</v>
      </c>
      <c r="N282" s="73">
        <f t="shared" si="72"/>
        <v>863.79857679702297</v>
      </c>
      <c r="O282" s="73">
        <f t="shared" si="68"/>
        <v>89837.77641469847</v>
      </c>
      <c r="T282" s="74"/>
    </row>
    <row r="283" spans="1:20" s="61" customFormat="1" outlineLevel="1" x14ac:dyDescent="0.25">
      <c r="A283" s="71">
        <v>277</v>
      </c>
      <c r="B283" s="75">
        <f t="shared" si="61"/>
        <v>4100.918274350438</v>
      </c>
      <c r="C283" s="75">
        <f t="shared" si="62"/>
        <v>1855.0471635631372</v>
      </c>
      <c r="D283" s="75">
        <f t="shared" si="63"/>
        <v>2245.8711107873009</v>
      </c>
      <c r="E283" s="75">
        <f t="shared" si="64"/>
        <v>234831.655378122</v>
      </c>
      <c r="F283" s="64"/>
      <c r="G283" s="75">
        <f t="shared" si="65"/>
        <v>2085.3866762597909</v>
      </c>
      <c r="H283" s="75">
        <f t="shared" si="69"/>
        <v>1160.4444444444443</v>
      </c>
      <c r="I283" s="75">
        <f t="shared" si="66"/>
        <v>924.94223181534664</v>
      </c>
      <c r="J283" s="75">
        <f t="shared" si="67"/>
        <v>96316.88888889068</v>
      </c>
      <c r="K283" s="69"/>
      <c r="L283" s="75">
        <f>+M283+N283</f>
        <v>1921.9493963726622</v>
      </c>
      <c r="M283" s="75">
        <f>IF(O282&lt;0,0,+O282/($C$3-A282))</f>
        <v>1069.4973382702199</v>
      </c>
      <c r="N283" s="75">
        <f t="shared" si="72"/>
        <v>852.45205810244227</v>
      </c>
      <c r="O283" s="75">
        <f t="shared" si="68"/>
        <v>88768.279076428254</v>
      </c>
      <c r="T283" s="74"/>
    </row>
    <row r="284" spans="1:20" s="61" customFormat="1" outlineLevel="1" x14ac:dyDescent="0.25">
      <c r="A284" s="71">
        <v>278</v>
      </c>
      <c r="B284" s="75">
        <f t="shared" si="61"/>
        <v>4100.9182743504389</v>
      </c>
      <c r="C284" s="75">
        <f t="shared" si="62"/>
        <v>1872.6493219820736</v>
      </c>
      <c r="D284" s="75">
        <f t="shared" si="63"/>
        <v>2228.2689523683648</v>
      </c>
      <c r="E284" s="75">
        <f t="shared" si="64"/>
        <v>232959.00605613992</v>
      </c>
      <c r="F284" s="64"/>
      <c r="G284" s="75">
        <f t="shared" si="65"/>
        <v>2074.3754592143705</v>
      </c>
      <c r="H284" s="75">
        <f t="shared" si="69"/>
        <v>1160.4444444444443</v>
      </c>
      <c r="I284" s="75">
        <f t="shared" si="66"/>
        <v>913.93101476992615</v>
      </c>
      <c r="J284" s="75">
        <f t="shared" si="67"/>
        <v>95156.444444446242</v>
      </c>
      <c r="K284" s="69"/>
      <c r="L284" s="75">
        <f t="shared" si="70"/>
        <v>1921.9493963726622</v>
      </c>
      <c r="M284" s="75">
        <f t="shared" si="71"/>
        <v>1079.6455770571538</v>
      </c>
      <c r="N284" s="75">
        <f t="shared" si="72"/>
        <v>842.30381931550846</v>
      </c>
      <c r="O284" s="75">
        <f t="shared" si="68"/>
        <v>87688.633499371106</v>
      </c>
      <c r="T284" s="74"/>
    </row>
    <row r="285" spans="1:20" s="61" customFormat="1" outlineLevel="1" x14ac:dyDescent="0.25">
      <c r="A285" s="71">
        <v>279</v>
      </c>
      <c r="B285" s="75">
        <f t="shared" si="61"/>
        <v>4100.918274350438</v>
      </c>
      <c r="C285" s="75">
        <f t="shared" si="62"/>
        <v>1890.4185036374488</v>
      </c>
      <c r="D285" s="75">
        <f t="shared" si="63"/>
        <v>2210.4997707129892</v>
      </c>
      <c r="E285" s="75">
        <f t="shared" si="64"/>
        <v>231068.58755250246</v>
      </c>
      <c r="F285" s="64"/>
      <c r="G285" s="75">
        <f t="shared" si="65"/>
        <v>2063.3642421689501</v>
      </c>
      <c r="H285" s="75">
        <f t="shared" si="69"/>
        <v>1160.4444444444443</v>
      </c>
      <c r="I285" s="75">
        <f t="shared" si="66"/>
        <v>902.91979772450566</v>
      </c>
      <c r="J285" s="75">
        <f t="shared" si="67"/>
        <v>93996.000000001804</v>
      </c>
      <c r="K285" s="69"/>
      <c r="L285" s="75">
        <f t="shared" si="70"/>
        <v>1921.9493963726622</v>
      </c>
      <c r="M285" s="75">
        <f t="shared" si="71"/>
        <v>1089.8901103805874</v>
      </c>
      <c r="N285" s="75">
        <f t="shared" si="72"/>
        <v>832.05928599207471</v>
      </c>
      <c r="O285" s="75">
        <f t="shared" si="68"/>
        <v>86598.743388990522</v>
      </c>
      <c r="T285" s="74"/>
    </row>
    <row r="286" spans="1:20" s="61" customFormat="1" outlineLevel="1" x14ac:dyDescent="0.25">
      <c r="A286" s="71">
        <v>280</v>
      </c>
      <c r="B286" s="75">
        <f t="shared" si="61"/>
        <v>4100.918274350438</v>
      </c>
      <c r="C286" s="75">
        <f t="shared" si="62"/>
        <v>1908.3562933781689</v>
      </c>
      <c r="D286" s="75">
        <f t="shared" si="63"/>
        <v>2192.5619809722693</v>
      </c>
      <c r="E286" s="75">
        <f t="shared" si="64"/>
        <v>229160.2312591243</v>
      </c>
      <c r="F286" s="64"/>
      <c r="G286" s="75">
        <f t="shared" si="65"/>
        <v>2052.3530251235293</v>
      </c>
      <c r="H286" s="75">
        <f t="shared" si="69"/>
        <v>1160.4444444444443</v>
      </c>
      <c r="I286" s="75">
        <f t="shared" si="66"/>
        <v>891.90858067908505</v>
      </c>
      <c r="J286" s="75">
        <f t="shared" si="67"/>
        <v>92835.555555557366</v>
      </c>
      <c r="K286" s="69"/>
      <c r="L286" s="75">
        <f t="shared" si="70"/>
        <v>1921.9493963726622</v>
      </c>
      <c r="M286" s="75">
        <f t="shared" si="71"/>
        <v>1100.2318519594387</v>
      </c>
      <c r="N286" s="75">
        <f t="shared" si="72"/>
        <v>821.71754441322355</v>
      </c>
      <c r="O286" s="75">
        <f t="shared" si="68"/>
        <v>85498.511537031081</v>
      </c>
      <c r="T286" s="74"/>
    </row>
    <row r="287" spans="1:20" s="61" customFormat="1" outlineLevel="1" x14ac:dyDescent="0.25">
      <c r="A287" s="71">
        <v>281</v>
      </c>
      <c r="B287" s="75">
        <f t="shared" si="61"/>
        <v>4100.918274350438</v>
      </c>
      <c r="C287" s="75">
        <f t="shared" si="62"/>
        <v>1926.4642910914426</v>
      </c>
      <c r="D287" s="75">
        <f t="shared" si="63"/>
        <v>2174.4539832589953</v>
      </c>
      <c r="E287" s="75">
        <f t="shared" si="64"/>
        <v>227233.76696803284</v>
      </c>
      <c r="F287" s="64"/>
      <c r="G287" s="75">
        <f t="shared" si="65"/>
        <v>2041.3418080781089</v>
      </c>
      <c r="H287" s="75">
        <f t="shared" si="69"/>
        <v>1160.4444444444443</v>
      </c>
      <c r="I287" s="75">
        <f t="shared" si="66"/>
        <v>880.89736363366455</v>
      </c>
      <c r="J287" s="75">
        <f t="shared" si="67"/>
        <v>91675.111111112928</v>
      </c>
      <c r="K287" s="69"/>
      <c r="L287" s="75">
        <f t="shared" si="70"/>
        <v>1921.9493963726622</v>
      </c>
      <c r="M287" s="75">
        <f t="shared" si="71"/>
        <v>1110.6717241827146</v>
      </c>
      <c r="N287" s="75">
        <f t="shared" si="72"/>
        <v>811.27767218994757</v>
      </c>
      <c r="O287" s="75">
        <f t="shared" si="68"/>
        <v>84387.839812848368</v>
      </c>
      <c r="T287" s="74"/>
    </row>
    <row r="288" spans="1:20" s="61" customFormat="1" outlineLevel="1" x14ac:dyDescent="0.25">
      <c r="A288" s="71">
        <v>282</v>
      </c>
      <c r="B288" s="75">
        <f t="shared" si="61"/>
        <v>4100.918274350438</v>
      </c>
      <c r="C288" s="75">
        <f t="shared" si="62"/>
        <v>1944.7441118454776</v>
      </c>
      <c r="D288" s="75">
        <f t="shared" si="63"/>
        <v>2156.1741625049603</v>
      </c>
      <c r="E288" s="75">
        <f t="shared" si="64"/>
        <v>225289.02285618737</v>
      </c>
      <c r="F288" s="64"/>
      <c r="G288" s="75">
        <f t="shared" si="65"/>
        <v>2030.3305910326885</v>
      </c>
      <c r="H288" s="75">
        <f t="shared" si="69"/>
        <v>1160.4444444444443</v>
      </c>
      <c r="I288" s="75">
        <f t="shared" si="66"/>
        <v>869.88614658824406</v>
      </c>
      <c r="J288" s="75">
        <f t="shared" si="67"/>
        <v>90514.666666668491</v>
      </c>
      <c r="K288" s="69"/>
      <c r="L288" s="75">
        <f t="shared" si="70"/>
        <v>1921.9493963726622</v>
      </c>
      <c r="M288" s="75">
        <f t="shared" si="71"/>
        <v>1121.2106581917808</v>
      </c>
      <c r="N288" s="75">
        <f t="shared" si="72"/>
        <v>800.73873818088146</v>
      </c>
      <c r="O288" s="75">
        <f t="shared" si="68"/>
        <v>83266.629154656592</v>
      </c>
      <c r="T288" s="74"/>
    </row>
    <row r="289" spans="1:20" s="61" customFormat="1" outlineLevel="1" x14ac:dyDescent="0.25">
      <c r="A289" s="71">
        <v>283</v>
      </c>
      <c r="B289" s="75">
        <f t="shared" si="61"/>
        <v>4100.9182743504389</v>
      </c>
      <c r="C289" s="75">
        <f t="shared" si="62"/>
        <v>1963.1973860335293</v>
      </c>
      <c r="D289" s="75">
        <f t="shared" si="63"/>
        <v>2137.7208883169092</v>
      </c>
      <c r="E289" s="75">
        <f t="shared" si="64"/>
        <v>223325.82547015382</v>
      </c>
      <c r="F289" s="64"/>
      <c r="G289" s="75">
        <f t="shared" si="65"/>
        <v>2019.3193739872677</v>
      </c>
      <c r="H289" s="75">
        <f t="shared" si="69"/>
        <v>1160.4444444444443</v>
      </c>
      <c r="I289" s="75">
        <f t="shared" si="66"/>
        <v>858.87492954282345</v>
      </c>
      <c r="J289" s="75">
        <f t="shared" si="67"/>
        <v>89354.222222224053</v>
      </c>
      <c r="K289" s="69"/>
      <c r="L289" s="75">
        <f t="shared" si="70"/>
        <v>1921.9493963726622</v>
      </c>
      <c r="M289" s="75">
        <f t="shared" si="71"/>
        <v>1131.8495939634101</v>
      </c>
      <c r="N289" s="75">
        <f t="shared" si="72"/>
        <v>790.09980240925211</v>
      </c>
      <c r="O289" s="75">
        <f t="shared" si="68"/>
        <v>82134.779560693176</v>
      </c>
      <c r="T289" s="74"/>
    </row>
    <row r="290" spans="1:20" s="61" customFormat="1" outlineLevel="1" x14ac:dyDescent="0.25">
      <c r="A290" s="71">
        <v>284</v>
      </c>
      <c r="B290" s="75">
        <f t="shared" si="61"/>
        <v>4100.918274350438</v>
      </c>
      <c r="C290" s="75">
        <f t="shared" si="62"/>
        <v>1981.8257595193159</v>
      </c>
      <c r="D290" s="75">
        <f t="shared" si="63"/>
        <v>2119.0925148311221</v>
      </c>
      <c r="E290" s="75">
        <f t="shared" si="64"/>
        <v>221343.9997106345</v>
      </c>
      <c r="F290" s="64"/>
      <c r="G290" s="75">
        <f t="shared" si="65"/>
        <v>2008.3081569418473</v>
      </c>
      <c r="H290" s="75">
        <f t="shared" si="69"/>
        <v>1160.4444444444443</v>
      </c>
      <c r="I290" s="75">
        <f t="shared" si="66"/>
        <v>847.86371249740296</v>
      </c>
      <c r="J290" s="75">
        <f t="shared" si="67"/>
        <v>88193.777777779615</v>
      </c>
      <c r="K290" s="69"/>
      <c r="L290" s="75">
        <f t="shared" si="70"/>
        <v>1921.9493963726622</v>
      </c>
      <c r="M290" s="75">
        <f t="shared" si="71"/>
        <v>1142.5894803936208</v>
      </c>
      <c r="N290" s="75">
        <f t="shared" si="72"/>
        <v>779.35991597904138</v>
      </c>
      <c r="O290" s="75">
        <f t="shared" si="68"/>
        <v>80992.190080299551</v>
      </c>
      <c r="T290" s="74"/>
    </row>
    <row r="291" spans="1:20" s="61" customFormat="1" outlineLevel="1" x14ac:dyDescent="0.25">
      <c r="A291" s="71">
        <v>285</v>
      </c>
      <c r="B291" s="75">
        <f t="shared" si="61"/>
        <v>4100.918274350438</v>
      </c>
      <c r="C291" s="75">
        <f t="shared" si="62"/>
        <v>2000.6308937838176</v>
      </c>
      <c r="D291" s="75">
        <f t="shared" si="63"/>
        <v>2100.2873805666204</v>
      </c>
      <c r="E291" s="75">
        <f t="shared" si="64"/>
        <v>219343.36881685068</v>
      </c>
      <c r="F291" s="64"/>
      <c r="G291" s="75">
        <f t="shared" si="65"/>
        <v>1997.2969398964269</v>
      </c>
      <c r="H291" s="75">
        <f t="shared" si="69"/>
        <v>1160.4444444444443</v>
      </c>
      <c r="I291" s="75">
        <f t="shared" si="66"/>
        <v>836.85249545198246</v>
      </c>
      <c r="J291" s="75">
        <f t="shared" si="67"/>
        <v>87033.333333335177</v>
      </c>
      <c r="K291" s="69"/>
      <c r="L291" s="75">
        <f t="shared" si="70"/>
        <v>1921.9493963726622</v>
      </c>
      <c r="M291" s="75">
        <f t="shared" si="71"/>
        <v>1153.4312753823087</v>
      </c>
      <c r="N291" s="75">
        <f t="shared" si="72"/>
        <v>768.5181209903534</v>
      </c>
      <c r="O291" s="75">
        <f t="shared" si="68"/>
        <v>79838.758804917248</v>
      </c>
      <c r="T291" s="74"/>
    </row>
    <row r="292" spans="1:20" s="61" customFormat="1" outlineLevel="1" x14ac:dyDescent="0.25">
      <c r="A292" s="71">
        <v>286</v>
      </c>
      <c r="B292" s="75">
        <f t="shared" si="61"/>
        <v>4100.9182743504371</v>
      </c>
      <c r="C292" s="75">
        <f t="shared" si="62"/>
        <v>2019.6144660734617</v>
      </c>
      <c r="D292" s="75">
        <f t="shared" si="63"/>
        <v>2081.3038082769758</v>
      </c>
      <c r="E292" s="75">
        <f t="shared" si="64"/>
        <v>217323.75435077722</v>
      </c>
      <c r="F292" s="64"/>
      <c r="G292" s="75">
        <f t="shared" si="65"/>
        <v>1986.2857228510061</v>
      </c>
      <c r="H292" s="75">
        <f t="shared" si="69"/>
        <v>1160.4444444444443</v>
      </c>
      <c r="I292" s="75">
        <f t="shared" si="66"/>
        <v>825.84127840656186</v>
      </c>
      <c r="J292" s="75">
        <f t="shared" si="67"/>
        <v>85872.888888890739</v>
      </c>
      <c r="K292" s="69"/>
      <c r="L292" s="75">
        <f t="shared" si="70"/>
        <v>1921.9493963726622</v>
      </c>
      <c r="M292" s="75">
        <f t="shared" si="71"/>
        <v>1164.3759459186836</v>
      </c>
      <c r="N292" s="75">
        <f t="shared" si="72"/>
        <v>757.57345045397869</v>
      </c>
      <c r="O292" s="75">
        <f t="shared" si="68"/>
        <v>78674.382858998564</v>
      </c>
      <c r="T292" s="74"/>
    </row>
    <row r="293" spans="1:20" s="61" customFormat="1" outlineLevel="1" x14ac:dyDescent="0.25">
      <c r="A293" s="71">
        <v>287</v>
      </c>
      <c r="B293" s="75">
        <f t="shared" si="61"/>
        <v>4100.918274350438</v>
      </c>
      <c r="C293" s="75">
        <f t="shared" si="62"/>
        <v>2038.7781695497215</v>
      </c>
      <c r="D293" s="75">
        <f t="shared" si="63"/>
        <v>2062.1401048007165</v>
      </c>
      <c r="E293" s="75">
        <f t="shared" si="64"/>
        <v>215284.97618122751</v>
      </c>
      <c r="F293" s="64"/>
      <c r="G293" s="75">
        <f t="shared" si="65"/>
        <v>1975.2745058055857</v>
      </c>
      <c r="H293" s="75">
        <f t="shared" si="69"/>
        <v>1160.4444444444443</v>
      </c>
      <c r="I293" s="75">
        <f t="shared" si="66"/>
        <v>814.83006136114136</v>
      </c>
      <c r="J293" s="75">
        <f t="shared" si="67"/>
        <v>84712.444444446301</v>
      </c>
      <c r="K293" s="69"/>
      <c r="L293" s="75">
        <f t="shared" si="70"/>
        <v>1921.9493963726622</v>
      </c>
      <c r="M293" s="75">
        <f t="shared" si="71"/>
        <v>1175.4244681675152</v>
      </c>
      <c r="N293" s="75">
        <f t="shared" si="72"/>
        <v>746.52492820514703</v>
      </c>
      <c r="O293" s="75">
        <f t="shared" si="68"/>
        <v>77498.958390831045</v>
      </c>
      <c r="T293" s="74"/>
    </row>
    <row r="294" spans="1:20" s="61" customFormat="1" x14ac:dyDescent="0.25">
      <c r="A294" s="69">
        <v>288</v>
      </c>
      <c r="B294" s="73">
        <f t="shared" si="61"/>
        <v>4100.918274350438</v>
      </c>
      <c r="C294" s="73">
        <f t="shared" si="62"/>
        <v>2058.1237134401272</v>
      </c>
      <c r="D294" s="73">
        <f t="shared" si="63"/>
        <v>2042.7945609103108</v>
      </c>
      <c r="E294" s="73">
        <f t="shared" si="64"/>
        <v>213226.85246778739</v>
      </c>
      <c r="F294" s="64"/>
      <c r="G294" s="73">
        <f t="shared" si="65"/>
        <v>1964.2632887601653</v>
      </c>
      <c r="H294" s="73">
        <f t="shared" si="69"/>
        <v>1160.4444444444443</v>
      </c>
      <c r="I294" s="73">
        <f t="shared" si="66"/>
        <v>803.81884431572087</v>
      </c>
      <c r="J294" s="73">
        <f t="shared" si="67"/>
        <v>83552.000000001863</v>
      </c>
      <c r="K294" s="69"/>
      <c r="L294" s="73">
        <f t="shared" si="70"/>
        <v>1921.9493963726622</v>
      </c>
      <c r="M294" s="73">
        <f t="shared" si="71"/>
        <v>1186.5778275561993</v>
      </c>
      <c r="N294" s="73">
        <f t="shared" si="72"/>
        <v>735.37156881646308</v>
      </c>
      <c r="O294" s="73">
        <f t="shared" si="68"/>
        <v>76312.380563274841</v>
      </c>
      <c r="T294" s="74"/>
    </row>
    <row r="295" spans="1:20" s="61" customFormat="1" outlineLevel="1" x14ac:dyDescent="0.25">
      <c r="A295" s="71">
        <v>289</v>
      </c>
      <c r="B295" s="75">
        <f t="shared" si="61"/>
        <v>4100.918274350438</v>
      </c>
      <c r="C295" s="75">
        <f t="shared" si="62"/>
        <v>2077.6528231907155</v>
      </c>
      <c r="D295" s="75">
        <f t="shared" si="63"/>
        <v>2023.2654511597225</v>
      </c>
      <c r="E295" s="75">
        <f t="shared" si="64"/>
        <v>211149.19964459667</v>
      </c>
      <c r="F295" s="64"/>
      <c r="G295" s="75">
        <f t="shared" si="65"/>
        <v>1953.2520717147445</v>
      </c>
      <c r="H295" s="75">
        <f t="shared" si="69"/>
        <v>1160.4444444444443</v>
      </c>
      <c r="I295" s="75">
        <f t="shared" si="66"/>
        <v>792.80762727030026</v>
      </c>
      <c r="J295" s="75">
        <f t="shared" si="67"/>
        <v>82391.555555557425</v>
      </c>
      <c r="K295" s="69"/>
      <c r="L295" s="75">
        <f>+M295+N295</f>
        <v>1784.0065519999434</v>
      </c>
      <c r="M295" s="75">
        <f>IF(O294&lt;0,0,+O294/($C$3-A294))</f>
        <v>1059.8941744899284</v>
      </c>
      <c r="N295" s="75">
        <f t="shared" si="72"/>
        <v>724.11237751001488</v>
      </c>
      <c r="O295" s="75">
        <f t="shared" si="68"/>
        <v>75252.486388784906</v>
      </c>
      <c r="T295" s="74"/>
    </row>
    <row r="296" spans="1:20" s="61" customFormat="1" outlineLevel="1" x14ac:dyDescent="0.25">
      <c r="A296" s="71">
        <v>290</v>
      </c>
      <c r="B296" s="75">
        <f t="shared" si="61"/>
        <v>4100.918274350438</v>
      </c>
      <c r="C296" s="75">
        <f t="shared" si="62"/>
        <v>2097.3672406199244</v>
      </c>
      <c r="D296" s="75">
        <f t="shared" si="63"/>
        <v>2003.5510337305138</v>
      </c>
      <c r="E296" s="75">
        <f t="shared" si="64"/>
        <v>209051.83240397673</v>
      </c>
      <c r="F296" s="64"/>
      <c r="G296" s="75">
        <f t="shared" si="65"/>
        <v>1942.2408546693241</v>
      </c>
      <c r="H296" s="75">
        <f t="shared" si="69"/>
        <v>1160.4444444444443</v>
      </c>
      <c r="I296" s="75">
        <f t="shared" si="66"/>
        <v>781.79641022487976</v>
      </c>
      <c r="J296" s="75">
        <f t="shared" si="67"/>
        <v>81231.111111112987</v>
      </c>
      <c r="K296" s="69"/>
      <c r="L296" s="75">
        <f t="shared" si="70"/>
        <v>1784.0065519999434</v>
      </c>
      <c r="M296" s="75">
        <f t="shared" si="71"/>
        <v>1069.9512908442343</v>
      </c>
      <c r="N296" s="75">
        <f t="shared" si="72"/>
        <v>714.05526115570899</v>
      </c>
      <c r="O296" s="75">
        <f t="shared" si="68"/>
        <v>74182.535097940665</v>
      </c>
      <c r="T296" s="74"/>
    </row>
    <row r="297" spans="1:20" s="61" customFormat="1" outlineLevel="1" x14ac:dyDescent="0.25">
      <c r="A297" s="71">
        <v>291</v>
      </c>
      <c r="B297" s="75">
        <f t="shared" si="61"/>
        <v>4100.918274350438</v>
      </c>
      <c r="C297" s="75">
        <f t="shared" si="62"/>
        <v>2117.2687240739442</v>
      </c>
      <c r="D297" s="75">
        <f t="shared" si="63"/>
        <v>1983.6495502764935</v>
      </c>
      <c r="E297" s="75">
        <f t="shared" si="64"/>
        <v>206934.56367990279</v>
      </c>
      <c r="F297" s="64"/>
      <c r="G297" s="75">
        <f t="shared" si="65"/>
        <v>1931.2296376239037</v>
      </c>
      <c r="H297" s="75">
        <f t="shared" si="69"/>
        <v>1160.4444444444443</v>
      </c>
      <c r="I297" s="75">
        <f t="shared" si="66"/>
        <v>770.78519317945927</v>
      </c>
      <c r="J297" s="75">
        <f t="shared" si="67"/>
        <v>80070.666666668549</v>
      </c>
      <c r="K297" s="69"/>
      <c r="L297" s="75">
        <f t="shared" si="70"/>
        <v>1784.0065519999434</v>
      </c>
      <c r="M297" s="75">
        <f t="shared" si="71"/>
        <v>1080.1038370931451</v>
      </c>
      <c r="N297" s="75">
        <f t="shared" si="72"/>
        <v>703.90271490679822</v>
      </c>
      <c r="O297" s="75">
        <f t="shared" si="68"/>
        <v>73102.431260847516</v>
      </c>
      <c r="T297" s="74"/>
    </row>
    <row r="298" spans="1:20" s="61" customFormat="1" outlineLevel="1" x14ac:dyDescent="0.25">
      <c r="A298" s="71">
        <v>292</v>
      </c>
      <c r="B298" s="75">
        <f t="shared" si="61"/>
        <v>4100.918274350438</v>
      </c>
      <c r="C298" s="75">
        <f t="shared" si="62"/>
        <v>2137.3590485835512</v>
      </c>
      <c r="D298" s="75">
        <f t="shared" si="63"/>
        <v>1963.5592257668868</v>
      </c>
      <c r="E298" s="75">
        <f t="shared" si="64"/>
        <v>204797.20463131924</v>
      </c>
      <c r="F298" s="64"/>
      <c r="G298" s="75">
        <f t="shared" si="65"/>
        <v>1920.2184205784831</v>
      </c>
      <c r="H298" s="75">
        <f t="shared" si="69"/>
        <v>1160.4444444444443</v>
      </c>
      <c r="I298" s="75">
        <f t="shared" si="66"/>
        <v>759.77397613403878</v>
      </c>
      <c r="J298" s="75">
        <f t="shared" si="67"/>
        <v>78910.222222224111</v>
      </c>
      <c r="K298" s="69"/>
      <c r="L298" s="75">
        <f t="shared" si="70"/>
        <v>1784.0065519999434</v>
      </c>
      <c r="M298" s="75">
        <f t="shared" si="71"/>
        <v>1090.3527187511709</v>
      </c>
      <c r="N298" s="75">
        <f t="shared" si="72"/>
        <v>693.65383324877268</v>
      </c>
      <c r="O298" s="75">
        <f t="shared" si="68"/>
        <v>72012.078542096351</v>
      </c>
      <c r="T298" s="74"/>
    </row>
    <row r="299" spans="1:20" s="61" customFormat="1" outlineLevel="1" x14ac:dyDescent="0.25">
      <c r="A299" s="71">
        <v>293</v>
      </c>
      <c r="B299" s="75">
        <f t="shared" si="61"/>
        <v>4100.918274350438</v>
      </c>
      <c r="C299" s="75">
        <f t="shared" si="62"/>
        <v>2157.6400060224178</v>
      </c>
      <c r="D299" s="75">
        <f t="shared" si="63"/>
        <v>1943.2782683280202</v>
      </c>
      <c r="E299" s="75">
        <f t="shared" si="64"/>
        <v>202639.56462529683</v>
      </c>
      <c r="F299" s="64"/>
      <c r="G299" s="75">
        <f t="shared" si="65"/>
        <v>1909.2072035330625</v>
      </c>
      <c r="H299" s="75">
        <f t="shared" si="69"/>
        <v>1160.4444444444443</v>
      </c>
      <c r="I299" s="75">
        <f t="shared" si="66"/>
        <v>748.76275908861817</v>
      </c>
      <c r="J299" s="75">
        <f t="shared" si="67"/>
        <v>77749.777777779673</v>
      </c>
      <c r="K299" s="69"/>
      <c r="L299" s="75">
        <f t="shared" si="70"/>
        <v>1784.0065519999434</v>
      </c>
      <c r="M299" s="75">
        <f t="shared" si="71"/>
        <v>1100.6988499250601</v>
      </c>
      <c r="N299" s="75">
        <f t="shared" si="72"/>
        <v>683.3077020748832</v>
      </c>
      <c r="O299" s="75">
        <f t="shared" si="68"/>
        <v>70911.379692171293</v>
      </c>
      <c r="T299" s="74"/>
    </row>
    <row r="300" spans="1:20" s="61" customFormat="1" outlineLevel="1" x14ac:dyDescent="0.25">
      <c r="A300" s="71">
        <v>294</v>
      </c>
      <c r="B300" s="75">
        <f t="shared" si="61"/>
        <v>4100.918274350438</v>
      </c>
      <c r="C300" s="75">
        <f t="shared" si="62"/>
        <v>2178.1134052669368</v>
      </c>
      <c r="D300" s="75">
        <f t="shared" si="63"/>
        <v>1922.804869083501</v>
      </c>
      <c r="E300" s="75">
        <f t="shared" si="64"/>
        <v>200461.45122002991</v>
      </c>
      <c r="F300" s="64"/>
      <c r="G300" s="75">
        <f t="shared" si="65"/>
        <v>1898.1959864876421</v>
      </c>
      <c r="H300" s="75">
        <f t="shared" si="69"/>
        <v>1160.4444444444443</v>
      </c>
      <c r="I300" s="75">
        <f t="shared" si="66"/>
        <v>737.75154204319767</v>
      </c>
      <c r="J300" s="75">
        <f t="shared" si="67"/>
        <v>76589.333333335235</v>
      </c>
      <c r="K300" s="69"/>
      <c r="L300" s="75">
        <f t="shared" si="70"/>
        <v>1784.0065519999434</v>
      </c>
      <c r="M300" s="75">
        <f t="shared" si="71"/>
        <v>1111.1431533953328</v>
      </c>
      <c r="N300" s="75">
        <f t="shared" si="72"/>
        <v>672.86339860461067</v>
      </c>
      <c r="O300" s="75">
        <f t="shared" si="68"/>
        <v>69800.236538775964</v>
      </c>
      <c r="T300" s="74"/>
    </row>
    <row r="301" spans="1:20" s="61" customFormat="1" outlineLevel="1" x14ac:dyDescent="0.25">
      <c r="A301" s="71">
        <v>295</v>
      </c>
      <c r="B301" s="75">
        <f t="shared" si="61"/>
        <v>4100.9182743504389</v>
      </c>
      <c r="C301" s="75">
        <f t="shared" si="62"/>
        <v>2198.7810723575549</v>
      </c>
      <c r="D301" s="75">
        <f t="shared" si="63"/>
        <v>1902.1372019928835</v>
      </c>
      <c r="E301" s="75">
        <f t="shared" si="64"/>
        <v>198262.67014767235</v>
      </c>
      <c r="F301" s="64"/>
      <c r="G301" s="75">
        <f t="shared" si="65"/>
        <v>1887.1847694422215</v>
      </c>
      <c r="H301" s="75">
        <f t="shared" si="69"/>
        <v>1160.4444444444443</v>
      </c>
      <c r="I301" s="75">
        <f t="shared" si="66"/>
        <v>726.74032499777718</v>
      </c>
      <c r="J301" s="75">
        <f t="shared" si="67"/>
        <v>75428.888888890797</v>
      </c>
      <c r="K301" s="69"/>
      <c r="L301" s="75">
        <f t="shared" si="70"/>
        <v>1784.0065519999434</v>
      </c>
      <c r="M301" s="75">
        <f t="shared" si="71"/>
        <v>1121.6865606985807</v>
      </c>
      <c r="N301" s="75">
        <f t="shared" si="72"/>
        <v>662.31999130136273</v>
      </c>
      <c r="O301" s="75">
        <f t="shared" si="68"/>
        <v>68678.549978077383</v>
      </c>
      <c r="T301" s="74"/>
    </row>
    <row r="302" spans="1:20" s="61" customFormat="1" outlineLevel="1" x14ac:dyDescent="0.25">
      <c r="A302" s="71">
        <v>296</v>
      </c>
      <c r="B302" s="75">
        <f t="shared" si="61"/>
        <v>4100.918274350438</v>
      </c>
      <c r="C302" s="75">
        <f t="shared" si="62"/>
        <v>2219.6448506616357</v>
      </c>
      <c r="D302" s="75">
        <f t="shared" si="63"/>
        <v>1881.2734236888023</v>
      </c>
      <c r="E302" s="75">
        <f t="shared" si="64"/>
        <v>196043.02529701072</v>
      </c>
      <c r="F302" s="64"/>
      <c r="G302" s="75">
        <f t="shared" si="65"/>
        <v>1876.1735523968009</v>
      </c>
      <c r="H302" s="75">
        <f t="shared" si="69"/>
        <v>1160.4444444444443</v>
      </c>
      <c r="I302" s="75">
        <f t="shared" si="66"/>
        <v>715.72910795235657</v>
      </c>
      <c r="J302" s="75">
        <f t="shared" si="67"/>
        <v>74268.444444446359</v>
      </c>
      <c r="K302" s="69"/>
      <c r="L302" s="75">
        <f t="shared" si="70"/>
        <v>1784.0065519999434</v>
      </c>
      <c r="M302" s="75">
        <f t="shared" si="71"/>
        <v>1132.3300122105543</v>
      </c>
      <c r="N302" s="75">
        <f t="shared" si="72"/>
        <v>651.67653978938927</v>
      </c>
      <c r="O302" s="75">
        <f t="shared" si="68"/>
        <v>67546.219965866825</v>
      </c>
      <c r="T302" s="74"/>
    </row>
    <row r="303" spans="1:20" s="61" customFormat="1" outlineLevel="1" x14ac:dyDescent="0.25">
      <c r="A303" s="71">
        <v>297</v>
      </c>
      <c r="B303" s="75">
        <f t="shared" si="61"/>
        <v>4100.918274350438</v>
      </c>
      <c r="C303" s="75">
        <f t="shared" si="62"/>
        <v>2240.7066010378776</v>
      </c>
      <c r="D303" s="75">
        <f t="shared" si="63"/>
        <v>1860.2116733125606</v>
      </c>
      <c r="E303" s="75">
        <f t="shared" si="64"/>
        <v>193802.31869597285</v>
      </c>
      <c r="F303" s="64"/>
      <c r="G303" s="75">
        <f t="shared" si="65"/>
        <v>1865.1623353513805</v>
      </c>
      <c r="H303" s="75">
        <f t="shared" si="69"/>
        <v>1160.4444444444443</v>
      </c>
      <c r="I303" s="75">
        <f t="shared" si="66"/>
        <v>704.71789090693608</v>
      </c>
      <c r="J303" s="75">
        <f t="shared" si="67"/>
        <v>73108.000000001921</v>
      </c>
      <c r="K303" s="69"/>
      <c r="L303" s="75">
        <f t="shared" si="70"/>
        <v>1784.0065519999434</v>
      </c>
      <c r="M303" s="75">
        <f t="shared" si="71"/>
        <v>1143.0744572300341</v>
      </c>
      <c r="N303" s="75">
        <f t="shared" si="72"/>
        <v>640.93209476990944</v>
      </c>
      <c r="O303" s="75">
        <f t="shared" si="68"/>
        <v>66403.145508636793</v>
      </c>
      <c r="T303" s="74"/>
    </row>
    <row r="304" spans="1:20" s="61" customFormat="1" outlineLevel="1" x14ac:dyDescent="0.25">
      <c r="A304" s="71">
        <v>298</v>
      </c>
      <c r="B304" s="75">
        <f t="shared" si="61"/>
        <v>4100.918274350438</v>
      </c>
      <c r="C304" s="75">
        <f t="shared" si="62"/>
        <v>2261.9682020022792</v>
      </c>
      <c r="D304" s="75">
        <f t="shared" si="63"/>
        <v>1838.950072348159</v>
      </c>
      <c r="E304" s="75">
        <f t="shared" si="64"/>
        <v>191540.35049397056</v>
      </c>
      <c r="F304" s="64"/>
      <c r="G304" s="75">
        <f t="shared" si="65"/>
        <v>1854.1511183059599</v>
      </c>
      <c r="H304" s="75">
        <f t="shared" si="69"/>
        <v>1160.4444444444443</v>
      </c>
      <c r="I304" s="75">
        <f t="shared" si="66"/>
        <v>693.70667386151558</v>
      </c>
      <c r="J304" s="75">
        <f t="shared" si="67"/>
        <v>71947.555555557483</v>
      </c>
      <c r="K304" s="69"/>
      <c r="L304" s="75">
        <f t="shared" si="70"/>
        <v>1784.0065519999434</v>
      </c>
      <c r="M304" s="75">
        <f t="shared" si="71"/>
        <v>1153.9208540635009</v>
      </c>
      <c r="N304" s="75">
        <f t="shared" si="72"/>
        <v>630.08569793644267</v>
      </c>
      <c r="O304" s="75">
        <f t="shared" si="68"/>
        <v>65249.224654573292</v>
      </c>
      <c r="T304" s="74"/>
    </row>
    <row r="305" spans="1:20" s="61" customFormat="1" outlineLevel="1" x14ac:dyDescent="0.25">
      <c r="A305" s="71">
        <v>299</v>
      </c>
      <c r="B305" s="75">
        <f t="shared" si="61"/>
        <v>4100.9182743504389</v>
      </c>
      <c r="C305" s="75">
        <f t="shared" si="62"/>
        <v>2283.4315498956903</v>
      </c>
      <c r="D305" s="75">
        <f t="shared" si="63"/>
        <v>1817.4867244547481</v>
      </c>
      <c r="E305" s="75">
        <f t="shared" si="64"/>
        <v>189256.91894407486</v>
      </c>
      <c r="F305" s="64"/>
      <c r="G305" s="75">
        <f t="shared" si="65"/>
        <v>1843.1399012605393</v>
      </c>
      <c r="H305" s="75">
        <f t="shared" si="69"/>
        <v>1160.4444444444443</v>
      </c>
      <c r="I305" s="75">
        <f t="shared" si="66"/>
        <v>682.69545681609497</v>
      </c>
      <c r="J305" s="75">
        <f t="shared" si="67"/>
        <v>70787.111111113045</v>
      </c>
      <c r="K305" s="69"/>
      <c r="L305" s="75">
        <f t="shared" si="70"/>
        <v>1784.0065519999434</v>
      </c>
      <c r="M305" s="75">
        <f t="shared" si="71"/>
        <v>1164.8701701106065</v>
      </c>
      <c r="N305" s="75">
        <f t="shared" si="72"/>
        <v>619.13638188933692</v>
      </c>
      <c r="O305" s="75">
        <f t="shared" si="68"/>
        <v>64084.354484462689</v>
      </c>
      <c r="T305" s="74"/>
    </row>
    <row r="306" spans="1:20" s="61" customFormat="1" x14ac:dyDescent="0.25">
      <c r="A306" s="69">
        <v>300</v>
      </c>
      <c r="B306" s="73">
        <f t="shared" si="61"/>
        <v>4100.918274350438</v>
      </c>
      <c r="C306" s="73">
        <f t="shared" si="62"/>
        <v>2305.0985590529444</v>
      </c>
      <c r="D306" s="73">
        <f t="shared" si="63"/>
        <v>1795.8197152974938</v>
      </c>
      <c r="E306" s="73">
        <f t="shared" si="64"/>
        <v>186951.82038502191</v>
      </c>
      <c r="F306" s="64"/>
      <c r="G306" s="73">
        <f t="shared" si="65"/>
        <v>1832.1286842151189</v>
      </c>
      <c r="H306" s="73">
        <f t="shared" si="69"/>
        <v>1160.4444444444443</v>
      </c>
      <c r="I306" s="73">
        <f t="shared" si="66"/>
        <v>671.68423977067448</v>
      </c>
      <c r="J306" s="73">
        <f t="shared" si="67"/>
        <v>69626.666666668607</v>
      </c>
      <c r="K306" s="69"/>
      <c r="L306" s="73">
        <f t="shared" si="70"/>
        <v>1784.0065519999434</v>
      </c>
      <c r="M306" s="73">
        <f t="shared" si="71"/>
        <v>1175.9233819504584</v>
      </c>
      <c r="N306" s="73">
        <f t="shared" si="72"/>
        <v>608.08317004948492</v>
      </c>
      <c r="O306" s="73">
        <f t="shared" si="68"/>
        <v>62908.43110251223</v>
      </c>
      <c r="T306" s="74"/>
    </row>
    <row r="307" spans="1:20" s="61" customFormat="1" outlineLevel="1" x14ac:dyDescent="0.25">
      <c r="A307" s="71">
        <v>301</v>
      </c>
      <c r="B307" s="75">
        <f t="shared" si="61"/>
        <v>4100.918274350438</v>
      </c>
      <c r="C307" s="75">
        <f t="shared" si="62"/>
        <v>2326.9711619736031</v>
      </c>
      <c r="D307" s="75">
        <f t="shared" si="63"/>
        <v>1773.9471123768346</v>
      </c>
      <c r="E307" s="75">
        <f t="shared" si="64"/>
        <v>184624.84922304831</v>
      </c>
      <c r="F307" s="64"/>
      <c r="G307" s="75">
        <f t="shared" si="65"/>
        <v>1821.1174671696983</v>
      </c>
      <c r="H307" s="75">
        <f t="shared" si="69"/>
        <v>1160.4444444444443</v>
      </c>
      <c r="I307" s="75">
        <f t="shared" si="66"/>
        <v>660.67302272525399</v>
      </c>
      <c r="J307" s="75">
        <f t="shared" si="67"/>
        <v>68466.222222224169</v>
      </c>
      <c r="K307" s="69"/>
      <c r="L307" s="75">
        <f>+M307+N307</f>
        <v>1645.3989282797597</v>
      </c>
      <c r="M307" s="75">
        <f>IF(O306&lt;0,0,+O306/($C$3-A306))</f>
        <v>1048.4738517085373</v>
      </c>
      <c r="N307" s="75">
        <f t="shared" si="72"/>
        <v>596.92507657122235</v>
      </c>
      <c r="O307" s="75">
        <f>IF(A307&gt;$C$3,0,+O306-M307)</f>
        <v>61859.957250803694</v>
      </c>
      <c r="T307" s="74"/>
    </row>
    <row r="308" spans="1:20" s="61" customFormat="1" outlineLevel="1" x14ac:dyDescent="0.25">
      <c r="A308" s="71">
        <v>302</v>
      </c>
      <c r="B308" s="75">
        <f t="shared" si="61"/>
        <v>4100.918274350438</v>
      </c>
      <c r="C308" s="75">
        <f t="shared" si="62"/>
        <v>2349.0513094943171</v>
      </c>
      <c r="D308" s="75">
        <f t="shared" si="63"/>
        <v>1751.8669648561208</v>
      </c>
      <c r="E308" s="75">
        <f t="shared" si="64"/>
        <v>182275.79791355398</v>
      </c>
      <c r="F308" s="64"/>
      <c r="G308" s="75">
        <f t="shared" si="65"/>
        <v>1810.1062501242777</v>
      </c>
      <c r="H308" s="75">
        <f t="shared" si="69"/>
        <v>1160.4444444444443</v>
      </c>
      <c r="I308" s="75">
        <f t="shared" si="66"/>
        <v>649.66180567983338</v>
      </c>
      <c r="J308" s="75">
        <f t="shared" si="67"/>
        <v>67305.777777779731</v>
      </c>
      <c r="K308" s="69"/>
      <c r="L308" s="75">
        <f t="shared" si="70"/>
        <v>1645.3989282797597</v>
      </c>
      <c r="M308" s="75">
        <f t="shared" si="71"/>
        <v>1058.4226029847243</v>
      </c>
      <c r="N308" s="75">
        <f t="shared" si="72"/>
        <v>586.97632529503539</v>
      </c>
      <c r="O308" s="75">
        <f t="shared" si="68"/>
        <v>60801.534647818968</v>
      </c>
      <c r="T308" s="74"/>
    </row>
    <row r="309" spans="1:20" s="61" customFormat="1" outlineLevel="1" x14ac:dyDescent="0.25">
      <c r="A309" s="71">
        <v>303</v>
      </c>
      <c r="B309" s="75">
        <f t="shared" si="61"/>
        <v>4100.918274350438</v>
      </c>
      <c r="C309" s="75">
        <f t="shared" si="62"/>
        <v>2371.3409709628199</v>
      </c>
      <c r="D309" s="75">
        <f t="shared" si="63"/>
        <v>1729.577303387618</v>
      </c>
      <c r="E309" s="75">
        <f t="shared" si="64"/>
        <v>179904.45694259115</v>
      </c>
      <c r="F309" s="64"/>
      <c r="G309" s="75">
        <f t="shared" si="65"/>
        <v>1799.0950330788573</v>
      </c>
      <c r="H309" s="75">
        <f t="shared" si="69"/>
        <v>1160.4444444444443</v>
      </c>
      <c r="I309" s="75">
        <f t="shared" si="66"/>
        <v>638.65058863441288</v>
      </c>
      <c r="J309" s="75">
        <f t="shared" si="67"/>
        <v>66145.333333335293</v>
      </c>
      <c r="K309" s="69"/>
      <c r="L309" s="75">
        <f t="shared" si="70"/>
        <v>1645.3989282797597</v>
      </c>
      <c r="M309" s="75">
        <f t="shared" si="71"/>
        <v>1068.4657559017287</v>
      </c>
      <c r="N309" s="75">
        <f t="shared" si="72"/>
        <v>576.93317237803092</v>
      </c>
      <c r="O309" s="75">
        <f t="shared" si="68"/>
        <v>59733.068891917239</v>
      </c>
      <c r="T309" s="74"/>
    </row>
    <row r="310" spans="1:20" s="61" customFormat="1" outlineLevel="1" x14ac:dyDescent="0.25">
      <c r="A310" s="71">
        <v>304</v>
      </c>
      <c r="B310" s="75">
        <f t="shared" si="61"/>
        <v>4100.918274350438</v>
      </c>
      <c r="C310" s="75">
        <f t="shared" si="62"/>
        <v>2393.8421344135791</v>
      </c>
      <c r="D310" s="75">
        <f t="shared" si="63"/>
        <v>1707.0761399368587</v>
      </c>
      <c r="E310" s="75">
        <f t="shared" si="64"/>
        <v>177510.61480817758</v>
      </c>
      <c r="F310" s="64"/>
      <c r="G310" s="75">
        <f t="shared" si="65"/>
        <v>1788.0838160334367</v>
      </c>
      <c r="H310" s="75">
        <f t="shared" si="69"/>
        <v>1160.4444444444443</v>
      </c>
      <c r="I310" s="75">
        <f t="shared" si="66"/>
        <v>627.63937158899239</v>
      </c>
      <c r="J310" s="75">
        <f t="shared" si="67"/>
        <v>64984.888888890848</v>
      </c>
      <c r="K310" s="69"/>
      <c r="L310" s="75">
        <f t="shared" si="70"/>
        <v>1645.3989282797597</v>
      </c>
      <c r="M310" s="75">
        <f t="shared" si="71"/>
        <v>1078.6042062171732</v>
      </c>
      <c r="N310" s="75">
        <f t="shared" si="72"/>
        <v>566.79472206258663</v>
      </c>
      <c r="O310" s="75">
        <f t="shared" si="68"/>
        <v>58654.464685700063</v>
      </c>
      <c r="T310" s="74"/>
    </row>
    <row r="311" spans="1:20" s="61" customFormat="1" outlineLevel="1" x14ac:dyDescent="0.25">
      <c r="A311" s="71">
        <v>305</v>
      </c>
      <c r="B311" s="75">
        <f t="shared" si="61"/>
        <v>4100.918274350438</v>
      </c>
      <c r="C311" s="75">
        <f t="shared" si="62"/>
        <v>2416.55680674511</v>
      </c>
      <c r="D311" s="75">
        <f t="shared" si="63"/>
        <v>1684.361467605328</v>
      </c>
      <c r="E311" s="75">
        <f t="shared" si="64"/>
        <v>175094.05800143245</v>
      </c>
      <c r="F311" s="64"/>
      <c r="G311" s="75">
        <f t="shared" si="65"/>
        <v>1777.0725989880161</v>
      </c>
      <c r="H311" s="75">
        <f t="shared" si="69"/>
        <v>1160.4444444444443</v>
      </c>
      <c r="I311" s="75">
        <f t="shared" si="66"/>
        <v>616.62815454357178</v>
      </c>
      <c r="J311" s="75">
        <f t="shared" si="67"/>
        <v>63824.444444446402</v>
      </c>
      <c r="K311" s="69"/>
      <c r="L311" s="75">
        <f t="shared" si="70"/>
        <v>1645.3989282797597</v>
      </c>
      <c r="M311" s="75">
        <f t="shared" si="71"/>
        <v>1088.8388581883382</v>
      </c>
      <c r="N311" s="75">
        <f t="shared" si="72"/>
        <v>556.56007009142149</v>
      </c>
      <c r="O311" s="75">
        <f t="shared" si="68"/>
        <v>57565.625827511722</v>
      </c>
      <c r="T311" s="74"/>
    </row>
    <row r="312" spans="1:20" s="61" customFormat="1" outlineLevel="1" x14ac:dyDescent="0.25">
      <c r="A312" s="71">
        <v>306</v>
      </c>
      <c r="B312" s="75">
        <f t="shared" si="61"/>
        <v>4100.9182743504371</v>
      </c>
      <c r="C312" s="75">
        <f t="shared" si="62"/>
        <v>2439.4870138989709</v>
      </c>
      <c r="D312" s="75">
        <f t="shared" si="63"/>
        <v>1661.4312604514662</v>
      </c>
      <c r="E312" s="75">
        <f t="shared" si="64"/>
        <v>172654.57098753349</v>
      </c>
      <c r="F312" s="64"/>
      <c r="G312" s="75">
        <f t="shared" si="65"/>
        <v>1766.0613819425955</v>
      </c>
      <c r="H312" s="75">
        <f t="shared" si="69"/>
        <v>1160.4444444444443</v>
      </c>
      <c r="I312" s="75">
        <f t="shared" si="66"/>
        <v>605.61693749815117</v>
      </c>
      <c r="J312" s="75">
        <f t="shared" si="67"/>
        <v>62664.000000001957</v>
      </c>
      <c r="K312" s="69"/>
      <c r="L312" s="75">
        <f t="shared" si="70"/>
        <v>1645.3989282797597</v>
      </c>
      <c r="M312" s="75">
        <f t="shared" si="71"/>
        <v>1099.1706246528151</v>
      </c>
      <c r="N312" s="75">
        <f t="shared" si="72"/>
        <v>546.22830362694447</v>
      </c>
      <c r="O312" s="75">
        <f t="shared" si="68"/>
        <v>56466.45520285891</v>
      </c>
      <c r="T312" s="74"/>
    </row>
    <row r="313" spans="1:20" s="61" customFormat="1" outlineLevel="1" x14ac:dyDescent="0.25">
      <c r="A313" s="71">
        <v>307</v>
      </c>
      <c r="B313" s="75">
        <f t="shared" si="61"/>
        <v>4100.918274350438</v>
      </c>
      <c r="C313" s="75">
        <f t="shared" si="62"/>
        <v>2462.6348010404631</v>
      </c>
      <c r="D313" s="75">
        <f t="shared" si="63"/>
        <v>1638.2834733099746</v>
      </c>
      <c r="E313" s="75">
        <f t="shared" si="64"/>
        <v>170191.93618649303</v>
      </c>
      <c r="F313" s="64"/>
      <c r="G313" s="75">
        <f t="shared" si="65"/>
        <v>1755.0501648971749</v>
      </c>
      <c r="H313" s="75">
        <f t="shared" si="69"/>
        <v>1160.4444444444443</v>
      </c>
      <c r="I313" s="75">
        <f t="shared" si="66"/>
        <v>594.60572045273057</v>
      </c>
      <c r="J313" s="75">
        <f t="shared" si="67"/>
        <v>61503.555555557512</v>
      </c>
      <c r="K313" s="69"/>
      <c r="L313" s="75">
        <f t="shared" si="70"/>
        <v>1645.3989282797597</v>
      </c>
      <c r="M313" s="75">
        <f t="shared" si="71"/>
        <v>1109.6004271099221</v>
      </c>
      <c r="N313" s="75">
        <f t="shared" si="72"/>
        <v>535.79850116983766</v>
      </c>
      <c r="O313" s="75">
        <f t="shared" si="68"/>
        <v>55356.854775748987</v>
      </c>
      <c r="T313" s="74"/>
    </row>
    <row r="314" spans="1:20" s="61" customFormat="1" outlineLevel="1" x14ac:dyDescent="0.25">
      <c r="A314" s="71">
        <v>308</v>
      </c>
      <c r="B314" s="75">
        <f t="shared" si="61"/>
        <v>4100.918274350438</v>
      </c>
      <c r="C314" s="75">
        <f t="shared" si="62"/>
        <v>2486.0022327410343</v>
      </c>
      <c r="D314" s="75">
        <f t="shared" si="63"/>
        <v>1614.9160416094037</v>
      </c>
      <c r="E314" s="75">
        <f t="shared" si="64"/>
        <v>167705.93395375198</v>
      </c>
      <c r="F314" s="64"/>
      <c r="G314" s="75">
        <f t="shared" si="65"/>
        <v>1744.0389478517543</v>
      </c>
      <c r="H314" s="75">
        <f t="shared" si="69"/>
        <v>1160.4444444444443</v>
      </c>
      <c r="I314" s="75">
        <f t="shared" si="66"/>
        <v>583.59450340730996</v>
      </c>
      <c r="J314" s="75">
        <f t="shared" si="67"/>
        <v>60343.111111113067</v>
      </c>
      <c r="K314" s="69"/>
      <c r="L314" s="75">
        <f t="shared" si="70"/>
        <v>1645.3989282797597</v>
      </c>
      <c r="M314" s="75">
        <f t="shared" si="71"/>
        <v>1120.129195802893</v>
      </c>
      <c r="N314" s="75">
        <f t="shared" si="72"/>
        <v>525.26973247686669</v>
      </c>
      <c r="O314" s="75">
        <f t="shared" si="68"/>
        <v>54236.725579946091</v>
      </c>
      <c r="T314" s="74"/>
    </row>
    <row r="315" spans="1:20" s="61" customFormat="1" outlineLevel="1" x14ac:dyDescent="0.25">
      <c r="A315" s="71">
        <v>309</v>
      </c>
      <c r="B315" s="75">
        <f t="shared" si="61"/>
        <v>4100.918274350438</v>
      </c>
      <c r="C315" s="75">
        <f t="shared" si="62"/>
        <v>2509.591393162425</v>
      </c>
      <c r="D315" s="75">
        <f t="shared" si="63"/>
        <v>1591.3268811880127</v>
      </c>
      <c r="E315" s="75">
        <f t="shared" si="64"/>
        <v>165196.34256058955</v>
      </c>
      <c r="F315" s="64"/>
      <c r="G315" s="75">
        <f t="shared" si="65"/>
        <v>1733.0277308063337</v>
      </c>
      <c r="H315" s="75">
        <f t="shared" si="69"/>
        <v>1160.4444444444443</v>
      </c>
      <c r="I315" s="75">
        <f t="shared" si="66"/>
        <v>572.58328636188935</v>
      </c>
      <c r="J315" s="75">
        <f t="shared" si="67"/>
        <v>59182.666666668621</v>
      </c>
      <c r="K315" s="69"/>
      <c r="L315" s="75">
        <f t="shared" si="70"/>
        <v>1645.3989282797597</v>
      </c>
      <c r="M315" s="75">
        <f t="shared" si="71"/>
        <v>1130.7578698018478</v>
      </c>
      <c r="N315" s="75">
        <f t="shared" si="72"/>
        <v>514.641058477912</v>
      </c>
      <c r="O315" s="75">
        <f t="shared" si="68"/>
        <v>53105.967710144243</v>
      </c>
      <c r="T315" s="74"/>
    </row>
    <row r="316" spans="1:20" s="61" customFormat="1" outlineLevel="1" x14ac:dyDescent="0.25">
      <c r="A316" s="71">
        <v>310</v>
      </c>
      <c r="B316" s="75">
        <f t="shared" si="61"/>
        <v>4100.9182743504371</v>
      </c>
      <c r="C316" s="75">
        <f t="shared" si="62"/>
        <v>2533.4043862425547</v>
      </c>
      <c r="D316" s="75">
        <f t="shared" si="63"/>
        <v>1567.5138881078826</v>
      </c>
      <c r="E316" s="75">
        <f t="shared" si="64"/>
        <v>162662.93817434699</v>
      </c>
      <c r="F316" s="64"/>
      <c r="G316" s="75">
        <f t="shared" si="65"/>
        <v>1722.0165137609131</v>
      </c>
      <c r="H316" s="75">
        <f t="shared" si="69"/>
        <v>1160.4444444444443</v>
      </c>
      <c r="I316" s="75">
        <f t="shared" si="66"/>
        <v>561.57206931646874</v>
      </c>
      <c r="J316" s="75">
        <f t="shared" si="67"/>
        <v>58022.222222224176</v>
      </c>
      <c r="K316" s="69"/>
      <c r="L316" s="75">
        <f t="shared" si="70"/>
        <v>1645.3989282797597</v>
      </c>
      <c r="M316" s="75">
        <f t="shared" si="71"/>
        <v>1141.4873970875476</v>
      </c>
      <c r="N316" s="75">
        <f t="shared" si="72"/>
        <v>503.91153119221207</v>
      </c>
      <c r="O316" s="75">
        <f t="shared" si="68"/>
        <v>51964.480313056694</v>
      </c>
      <c r="T316" s="74"/>
    </row>
    <row r="317" spans="1:20" s="61" customFormat="1" outlineLevel="1" x14ac:dyDescent="0.25">
      <c r="A317" s="71">
        <v>311</v>
      </c>
      <c r="B317" s="75">
        <f t="shared" si="61"/>
        <v>4100.918274350438</v>
      </c>
      <c r="C317" s="75">
        <f t="shared" si="62"/>
        <v>2557.4433358831752</v>
      </c>
      <c r="D317" s="75">
        <f t="shared" si="63"/>
        <v>1543.4749384672625</v>
      </c>
      <c r="E317" s="75">
        <f t="shared" si="64"/>
        <v>160105.49483846381</v>
      </c>
      <c r="F317" s="64"/>
      <c r="G317" s="75">
        <f t="shared" si="65"/>
        <v>1711.0052967154925</v>
      </c>
      <c r="H317" s="75">
        <f t="shared" si="69"/>
        <v>1160.4444444444443</v>
      </c>
      <c r="I317" s="75">
        <f t="shared" si="66"/>
        <v>550.56085227104813</v>
      </c>
      <c r="J317" s="75">
        <f t="shared" si="67"/>
        <v>56861.777777779731</v>
      </c>
      <c r="K317" s="69"/>
      <c r="L317" s="75">
        <f t="shared" si="70"/>
        <v>1645.3989282797597</v>
      </c>
      <c r="M317" s="75">
        <f t="shared" si="71"/>
        <v>1152.3187346359475</v>
      </c>
      <c r="N317" s="75">
        <f t="shared" si="72"/>
        <v>493.08019364381215</v>
      </c>
      <c r="O317" s="75">
        <f t="shared" si="68"/>
        <v>50812.161578420746</v>
      </c>
      <c r="T317" s="74"/>
    </row>
    <row r="318" spans="1:20" s="61" customFormat="1" x14ac:dyDescent="0.25">
      <c r="A318" s="69">
        <v>312</v>
      </c>
      <c r="B318" s="73">
        <f t="shared" ref="B318:B366" si="73">+D318+C318</f>
        <v>4100.9182743504371</v>
      </c>
      <c r="C318" s="73">
        <f t="shared" ref="C318:C366" si="74">IF(A318&gt;$C$3,0,PPMT($C$2,A318,$C$3,-$F$1))</f>
        <v>2581.7103861392998</v>
      </c>
      <c r="D318" s="73">
        <f t="shared" ref="D318:D366" si="75">+E317*$C$2</f>
        <v>1519.2078882111377</v>
      </c>
      <c r="E318" s="73">
        <f t="shared" ref="E318:E366" si="76">+E317-C318</f>
        <v>157523.7844523245</v>
      </c>
      <c r="F318" s="64"/>
      <c r="G318" s="73">
        <f t="shared" ref="G318:G366" si="77">+I318+H318</f>
        <v>1699.9940796700719</v>
      </c>
      <c r="H318" s="73">
        <f t="shared" si="69"/>
        <v>1160.4444444444443</v>
      </c>
      <c r="I318" s="73">
        <f t="shared" ref="I318:I366" si="78">+J317*$C$2</f>
        <v>539.54963522562753</v>
      </c>
      <c r="J318" s="73">
        <f t="shared" ref="J318:J366" si="79">+J317-H318</f>
        <v>55701.333333335286</v>
      </c>
      <c r="K318" s="69"/>
      <c r="L318" s="73">
        <f t="shared" si="70"/>
        <v>1645.3989282797597</v>
      </c>
      <c r="M318" s="73">
        <f t="shared" si="71"/>
        <v>1163.2528485035489</v>
      </c>
      <c r="N318" s="73">
        <f t="shared" si="72"/>
        <v>482.14607977621085</v>
      </c>
      <c r="O318" s="73">
        <f t="shared" ref="O318:O366" si="80">IF(A318&gt;$C$3,0,+O317-M318)</f>
        <v>49648.908729917195</v>
      </c>
      <c r="T318" s="74"/>
    </row>
    <row r="319" spans="1:20" s="61" customFormat="1" outlineLevel="1" x14ac:dyDescent="0.25">
      <c r="A319" s="71">
        <v>313</v>
      </c>
      <c r="B319" s="75">
        <f t="shared" si="73"/>
        <v>4100.9182743504371</v>
      </c>
      <c r="C319" s="75">
        <f t="shared" si="74"/>
        <v>2606.2077014104375</v>
      </c>
      <c r="D319" s="75">
        <f t="shared" si="75"/>
        <v>1494.7105729399993</v>
      </c>
      <c r="E319" s="75">
        <f t="shared" si="76"/>
        <v>154917.57675091407</v>
      </c>
      <c r="F319" s="64"/>
      <c r="G319" s="75">
        <f t="shared" si="77"/>
        <v>1688.9828626246513</v>
      </c>
      <c r="H319" s="75">
        <f t="shared" si="69"/>
        <v>1160.4444444444443</v>
      </c>
      <c r="I319" s="75">
        <f t="shared" si="78"/>
        <v>528.53841818020692</v>
      </c>
      <c r="J319" s="75">
        <f t="shared" si="79"/>
        <v>54540.88888889084</v>
      </c>
      <c r="K319" s="69"/>
      <c r="L319" s="75">
        <f>+M319+N319</f>
        <v>1505.4604795728051</v>
      </c>
      <c r="M319" s="75">
        <f>IF(O318&lt;0,0,+O318/($C$3-A318))</f>
        <v>1034.3522652066083</v>
      </c>
      <c r="N319" s="75">
        <f t="shared" si="72"/>
        <v>471.10821436619676</v>
      </c>
      <c r="O319" s="75">
        <f t="shared" si="80"/>
        <v>48614.556464710586</v>
      </c>
      <c r="T319" s="74"/>
    </row>
    <row r="320" spans="1:20" s="61" customFormat="1" outlineLevel="1" x14ac:dyDescent="0.25">
      <c r="A320" s="71">
        <v>314</v>
      </c>
      <c r="B320" s="75">
        <f t="shared" si="73"/>
        <v>4100.9182743504371</v>
      </c>
      <c r="C320" s="75">
        <f t="shared" si="74"/>
        <v>2630.9374666336371</v>
      </c>
      <c r="D320" s="75">
        <f t="shared" si="75"/>
        <v>1469.9808077168002</v>
      </c>
      <c r="E320" s="75">
        <f t="shared" si="76"/>
        <v>152286.63928428042</v>
      </c>
      <c r="F320" s="64"/>
      <c r="G320" s="75">
        <f t="shared" si="77"/>
        <v>1677.9716455792307</v>
      </c>
      <c r="H320" s="75">
        <f t="shared" si="69"/>
        <v>1160.4444444444443</v>
      </c>
      <c r="I320" s="75">
        <f t="shared" si="78"/>
        <v>517.52720113478631</v>
      </c>
      <c r="J320" s="75">
        <f t="shared" si="79"/>
        <v>53380.444444446395</v>
      </c>
      <c r="K320" s="69"/>
      <c r="L320" s="75">
        <f t="shared" si="70"/>
        <v>1505.4604795728051</v>
      </c>
      <c r="M320" s="75">
        <f t="shared" si="71"/>
        <v>1044.1670196725709</v>
      </c>
      <c r="N320" s="75">
        <f t="shared" si="72"/>
        <v>461.29345990023432</v>
      </c>
      <c r="O320" s="75">
        <f t="shared" si="80"/>
        <v>47570.389445038018</v>
      </c>
      <c r="T320" s="74"/>
    </row>
    <row r="321" spans="1:20" s="61" customFormat="1" outlineLevel="1" x14ac:dyDescent="0.25">
      <c r="A321" s="71">
        <v>315</v>
      </c>
      <c r="B321" s="75">
        <f t="shared" si="73"/>
        <v>4100.9182743504371</v>
      </c>
      <c r="C321" s="75">
        <f t="shared" si="74"/>
        <v>2655.9018874783601</v>
      </c>
      <c r="D321" s="75">
        <f t="shared" si="75"/>
        <v>1445.016386872077</v>
      </c>
      <c r="E321" s="75">
        <f t="shared" si="76"/>
        <v>149630.73739680205</v>
      </c>
      <c r="F321" s="64"/>
      <c r="G321" s="75">
        <f t="shared" si="77"/>
        <v>1666.96042853381</v>
      </c>
      <c r="H321" s="75">
        <f t="shared" si="69"/>
        <v>1160.4444444444443</v>
      </c>
      <c r="I321" s="75">
        <f t="shared" si="78"/>
        <v>506.51598408936576</v>
      </c>
      <c r="J321" s="75">
        <f t="shared" si="79"/>
        <v>52220.00000000195</v>
      </c>
      <c r="K321" s="69"/>
      <c r="L321" s="75">
        <f t="shared" si="70"/>
        <v>1505.4604795728051</v>
      </c>
      <c r="M321" s="75">
        <f t="shared" si="71"/>
        <v>1054.0749043113644</v>
      </c>
      <c r="N321" s="75">
        <f t="shared" si="72"/>
        <v>451.38557526144064</v>
      </c>
      <c r="O321" s="75">
        <f t="shared" si="80"/>
        <v>46516.314540726657</v>
      </c>
      <c r="T321" s="74"/>
    </row>
    <row r="322" spans="1:20" s="61" customFormat="1" outlineLevel="1" x14ac:dyDescent="0.25">
      <c r="A322" s="71">
        <v>316</v>
      </c>
      <c r="B322" s="75">
        <f t="shared" si="73"/>
        <v>4100.9182743504371</v>
      </c>
      <c r="C322" s="75">
        <f t="shared" si="74"/>
        <v>2681.103190543211</v>
      </c>
      <c r="D322" s="75">
        <f t="shared" si="75"/>
        <v>1419.8150838072265</v>
      </c>
      <c r="E322" s="75">
        <f t="shared" si="76"/>
        <v>146949.63420625884</v>
      </c>
      <c r="F322" s="64"/>
      <c r="G322" s="75">
        <f t="shared" si="77"/>
        <v>1655.9492114883894</v>
      </c>
      <c r="H322" s="75">
        <f t="shared" si="69"/>
        <v>1160.4444444444443</v>
      </c>
      <c r="I322" s="75">
        <f t="shared" si="78"/>
        <v>495.50476704394515</v>
      </c>
      <c r="J322" s="75">
        <f t="shared" si="79"/>
        <v>51059.555555557505</v>
      </c>
      <c r="K322" s="69"/>
      <c r="L322" s="75">
        <f t="shared" si="70"/>
        <v>1505.4604795728051</v>
      </c>
      <c r="M322" s="75">
        <f t="shared" si="71"/>
        <v>1064.0768028159155</v>
      </c>
      <c r="N322" s="75">
        <f t="shared" si="72"/>
        <v>441.38367675688971</v>
      </c>
      <c r="O322" s="75">
        <f t="shared" si="80"/>
        <v>45452.237737910742</v>
      </c>
      <c r="T322" s="74"/>
    </row>
    <row r="323" spans="1:20" s="61" customFormat="1" outlineLevel="1" x14ac:dyDescent="0.25">
      <c r="A323" s="71">
        <v>317</v>
      </c>
      <c r="B323" s="75">
        <f t="shared" si="73"/>
        <v>4100.9182743504371</v>
      </c>
      <c r="C323" s="75">
        <f t="shared" si="74"/>
        <v>2706.5436235545253</v>
      </c>
      <c r="D323" s="75">
        <f t="shared" si="75"/>
        <v>1394.374650795912</v>
      </c>
      <c r="E323" s="75">
        <f t="shared" si="76"/>
        <v>144243.09058270432</v>
      </c>
      <c r="F323" s="64"/>
      <c r="G323" s="75">
        <f t="shared" si="77"/>
        <v>1644.9379944429688</v>
      </c>
      <c r="H323" s="75">
        <f t="shared" si="69"/>
        <v>1160.4444444444443</v>
      </c>
      <c r="I323" s="75">
        <f t="shared" si="78"/>
        <v>484.49354999852454</v>
      </c>
      <c r="J323" s="75">
        <f t="shared" si="79"/>
        <v>49899.111111113059</v>
      </c>
      <c r="K323" s="69"/>
      <c r="L323" s="75">
        <f t="shared" si="70"/>
        <v>1505.4604795728051</v>
      </c>
      <c r="M323" s="75">
        <f t="shared" si="71"/>
        <v>1074.1736072643287</v>
      </c>
      <c r="N323" s="75">
        <f t="shared" si="72"/>
        <v>431.28687230847635</v>
      </c>
      <c r="O323" s="75">
        <f t="shared" si="80"/>
        <v>44378.064130646417</v>
      </c>
      <c r="T323" s="74"/>
    </row>
    <row r="324" spans="1:20" s="61" customFormat="1" outlineLevel="1" x14ac:dyDescent="0.25">
      <c r="A324" s="71">
        <v>318</v>
      </c>
      <c r="B324" s="75">
        <f t="shared" si="73"/>
        <v>4100.9182743504371</v>
      </c>
      <c r="C324" s="75">
        <f t="shared" si="74"/>
        <v>2732.2254555668505</v>
      </c>
      <c r="D324" s="75">
        <f t="shared" si="75"/>
        <v>1368.692818783587</v>
      </c>
      <c r="E324" s="75">
        <f t="shared" si="76"/>
        <v>141510.86512713745</v>
      </c>
      <c r="F324" s="64"/>
      <c r="G324" s="75">
        <f t="shared" si="77"/>
        <v>1633.9267773975482</v>
      </c>
      <c r="H324" s="75">
        <f t="shared" si="69"/>
        <v>1160.4444444444443</v>
      </c>
      <c r="I324" s="75">
        <f t="shared" si="78"/>
        <v>473.48233295310393</v>
      </c>
      <c r="J324" s="75">
        <f t="shared" si="79"/>
        <v>48738.666666668614</v>
      </c>
      <c r="K324" s="69"/>
      <c r="L324" s="75">
        <f t="shared" si="70"/>
        <v>1505.4604795728051</v>
      </c>
      <c r="M324" s="75">
        <f t="shared" si="71"/>
        <v>1084.3662181994541</v>
      </c>
      <c r="N324" s="75">
        <f t="shared" si="72"/>
        <v>421.094261373351</v>
      </c>
      <c r="O324" s="75">
        <f t="shared" si="80"/>
        <v>43293.697912446965</v>
      </c>
      <c r="T324" s="74"/>
    </row>
    <row r="325" spans="1:20" s="61" customFormat="1" outlineLevel="1" x14ac:dyDescent="0.25">
      <c r="A325" s="71">
        <v>319</v>
      </c>
      <c r="B325" s="75">
        <f t="shared" si="73"/>
        <v>4100.9182743504371</v>
      </c>
      <c r="C325" s="75">
        <f t="shared" si="74"/>
        <v>2758.1509771653209</v>
      </c>
      <c r="D325" s="75">
        <f t="shared" si="75"/>
        <v>1342.7672971851161</v>
      </c>
      <c r="E325" s="75">
        <f t="shared" si="76"/>
        <v>138752.71414997213</v>
      </c>
      <c r="F325" s="64"/>
      <c r="G325" s="75">
        <f t="shared" si="77"/>
        <v>1622.9155603521276</v>
      </c>
      <c r="H325" s="75">
        <f t="shared" si="69"/>
        <v>1160.4444444444443</v>
      </c>
      <c r="I325" s="75">
        <f t="shared" si="78"/>
        <v>462.47111590768333</v>
      </c>
      <c r="J325" s="75">
        <f t="shared" si="79"/>
        <v>47578.222222224169</v>
      </c>
      <c r="K325" s="69"/>
      <c r="L325" s="75">
        <f t="shared" si="70"/>
        <v>1505.4604795728051</v>
      </c>
      <c r="M325" s="75">
        <f t="shared" si="71"/>
        <v>1094.6555447092055</v>
      </c>
      <c r="N325" s="75">
        <f t="shared" si="72"/>
        <v>410.8049348635995</v>
      </c>
      <c r="O325" s="75">
        <f t="shared" si="80"/>
        <v>42199.042367737762</v>
      </c>
      <c r="T325" s="74"/>
    </row>
    <row r="326" spans="1:20" s="61" customFormat="1" outlineLevel="1" x14ac:dyDescent="0.25">
      <c r="A326" s="71">
        <v>320</v>
      </c>
      <c r="B326" s="75">
        <f t="shared" si="73"/>
        <v>4100.9182743504371</v>
      </c>
      <c r="C326" s="75">
        <f t="shared" si="74"/>
        <v>2784.3225006699604</v>
      </c>
      <c r="D326" s="75">
        <f t="shared" si="75"/>
        <v>1316.5957736804767</v>
      </c>
      <c r="E326" s="75">
        <f t="shared" si="76"/>
        <v>135968.39164930218</v>
      </c>
      <c r="F326" s="64"/>
      <c r="G326" s="75">
        <f t="shared" si="77"/>
        <v>1611.9043433067072</v>
      </c>
      <c r="H326" s="75">
        <f t="shared" si="69"/>
        <v>1160.4444444444443</v>
      </c>
      <c r="I326" s="75">
        <f t="shared" si="78"/>
        <v>451.45989886226278</v>
      </c>
      <c r="J326" s="75">
        <f t="shared" si="79"/>
        <v>46417.777777779724</v>
      </c>
      <c r="K326" s="69"/>
      <c r="L326" s="75">
        <f t="shared" si="70"/>
        <v>1505.4604795728051</v>
      </c>
      <c r="M326" s="75">
        <f t="shared" si="71"/>
        <v>1105.0425045076445</v>
      </c>
      <c r="N326" s="75">
        <f t="shared" si="72"/>
        <v>400.4179750651607</v>
      </c>
      <c r="O326" s="75">
        <f t="shared" si="80"/>
        <v>41093.999863230114</v>
      </c>
      <c r="T326" s="74"/>
    </row>
    <row r="327" spans="1:20" s="61" customFormat="1" outlineLevel="1" x14ac:dyDescent="0.25">
      <c r="A327" s="71">
        <v>321</v>
      </c>
      <c r="B327" s="75">
        <f t="shared" si="73"/>
        <v>4100.9182743504371</v>
      </c>
      <c r="C327" s="75">
        <f t="shared" si="74"/>
        <v>2810.7423603419184</v>
      </c>
      <c r="D327" s="75">
        <f t="shared" si="75"/>
        <v>1290.1759140085189</v>
      </c>
      <c r="E327" s="75">
        <f t="shared" si="76"/>
        <v>133157.64928896027</v>
      </c>
      <c r="F327" s="64"/>
      <c r="G327" s="75">
        <f t="shared" si="77"/>
        <v>1600.8931262612864</v>
      </c>
      <c r="H327" s="75">
        <f t="shared" si="69"/>
        <v>1160.4444444444443</v>
      </c>
      <c r="I327" s="75">
        <f t="shared" si="78"/>
        <v>440.44868181684217</v>
      </c>
      <c r="J327" s="75">
        <f t="shared" si="79"/>
        <v>45257.333333335278</v>
      </c>
      <c r="K327" s="69"/>
      <c r="L327" s="75">
        <f t="shared" si="70"/>
        <v>1505.4604795728051</v>
      </c>
      <c r="M327" s="75">
        <f t="shared" si="71"/>
        <v>1115.5280240168304</v>
      </c>
      <c r="N327" s="75">
        <f t="shared" si="72"/>
        <v>389.93245555597457</v>
      </c>
      <c r="O327" s="75">
        <f t="shared" si="80"/>
        <v>39978.471839213285</v>
      </c>
      <c r="T327" s="74"/>
    </row>
    <row r="328" spans="1:20" s="61" customFormat="1" outlineLevel="1" x14ac:dyDescent="0.25">
      <c r="A328" s="71">
        <v>322</v>
      </c>
      <c r="B328" s="75">
        <f t="shared" si="73"/>
        <v>4100.9182743504371</v>
      </c>
      <c r="C328" s="75">
        <f t="shared" si="74"/>
        <v>2837.4129125916643</v>
      </c>
      <c r="D328" s="75">
        <f t="shared" si="75"/>
        <v>1263.5053617587732</v>
      </c>
      <c r="E328" s="75">
        <f t="shared" si="76"/>
        <v>130320.2363763686</v>
      </c>
      <c r="F328" s="64"/>
      <c r="G328" s="75">
        <f t="shared" si="77"/>
        <v>1589.881909215866</v>
      </c>
      <c r="H328" s="75">
        <f t="shared" ref="H328:H366" si="81">IF(A328&gt;$C$3,0,+$F$2/$C$3)</f>
        <v>1160.4444444444443</v>
      </c>
      <c r="I328" s="75">
        <f t="shared" si="78"/>
        <v>429.43746477142156</v>
      </c>
      <c r="J328" s="75">
        <f t="shared" si="79"/>
        <v>44096.888888890833</v>
      </c>
      <c r="K328" s="69"/>
      <c r="L328" s="75">
        <f t="shared" si="70"/>
        <v>1505.4604795728051</v>
      </c>
      <c r="M328" s="75">
        <f t="shared" si="71"/>
        <v>1126.1130384494509</v>
      </c>
      <c r="N328" s="75">
        <f t="shared" si="72"/>
        <v>379.34744112335426</v>
      </c>
      <c r="O328" s="75">
        <f t="shared" si="80"/>
        <v>38852.358800763832</v>
      </c>
      <c r="T328" s="74"/>
    </row>
    <row r="329" spans="1:20" s="61" customFormat="1" outlineLevel="1" x14ac:dyDescent="0.25">
      <c r="A329" s="71">
        <v>323</v>
      </c>
      <c r="B329" s="75">
        <f t="shared" si="73"/>
        <v>4100.9182743504371</v>
      </c>
      <c r="C329" s="75">
        <f t="shared" si="74"/>
        <v>2864.3365361891579</v>
      </c>
      <c r="D329" s="75">
        <f t="shared" si="75"/>
        <v>1236.5817381612787</v>
      </c>
      <c r="E329" s="75">
        <f t="shared" si="76"/>
        <v>127455.89984017944</v>
      </c>
      <c r="F329" s="64"/>
      <c r="G329" s="75">
        <f t="shared" si="77"/>
        <v>1578.8706921704452</v>
      </c>
      <c r="H329" s="75">
        <f t="shared" si="81"/>
        <v>1160.4444444444443</v>
      </c>
      <c r="I329" s="75">
        <f t="shared" si="78"/>
        <v>418.42624772600095</v>
      </c>
      <c r="J329" s="75">
        <f t="shared" si="79"/>
        <v>42936.444444446388</v>
      </c>
      <c r="K329" s="69"/>
      <c r="L329" s="75">
        <f t="shared" ref="L329:L366" si="82">+L328</f>
        <v>1505.4604795728051</v>
      </c>
      <c r="M329" s="75">
        <f t="shared" ref="M329:M366" si="83">+L329-N329</f>
        <v>1136.7984918922318</v>
      </c>
      <c r="N329" s="75">
        <f t="shared" ref="N329:N366" si="84">IF(A329&gt;$C$3,0,+O328*($C$2))</f>
        <v>368.66198768057325</v>
      </c>
      <c r="O329" s="75">
        <f t="shared" si="80"/>
        <v>37715.560308871602</v>
      </c>
      <c r="T329" s="74"/>
    </row>
    <row r="330" spans="1:20" s="61" customFormat="1" x14ac:dyDescent="0.25">
      <c r="A330" s="69">
        <v>324</v>
      </c>
      <c r="B330" s="73">
        <f t="shared" si="73"/>
        <v>4100.9182743504371</v>
      </c>
      <c r="C330" s="73">
        <f t="shared" si="74"/>
        <v>2891.5156324760183</v>
      </c>
      <c r="D330" s="73">
        <f t="shared" si="75"/>
        <v>1209.402641874419</v>
      </c>
      <c r="E330" s="73">
        <f t="shared" si="76"/>
        <v>124564.38420770342</v>
      </c>
      <c r="F330" s="64"/>
      <c r="G330" s="73">
        <f t="shared" si="77"/>
        <v>1567.8594751250248</v>
      </c>
      <c r="H330" s="73">
        <f t="shared" si="81"/>
        <v>1160.4444444444443</v>
      </c>
      <c r="I330" s="73">
        <f t="shared" si="78"/>
        <v>407.41503068058034</v>
      </c>
      <c r="J330" s="73">
        <f t="shared" si="79"/>
        <v>41776.000000001943</v>
      </c>
      <c r="K330" s="69"/>
      <c r="L330" s="73">
        <f t="shared" si="82"/>
        <v>1505.4604795728051</v>
      </c>
      <c r="M330" s="73">
        <f t="shared" si="83"/>
        <v>1147.5853373901434</v>
      </c>
      <c r="N330" s="73">
        <f t="shared" si="84"/>
        <v>357.87514218266159</v>
      </c>
      <c r="O330" s="73">
        <f t="shared" si="80"/>
        <v>36567.974971481461</v>
      </c>
      <c r="T330" s="74"/>
    </row>
    <row r="331" spans="1:20" s="61" customFormat="1" outlineLevel="1" x14ac:dyDescent="0.25">
      <c r="A331" s="71">
        <v>325</v>
      </c>
      <c r="B331" s="75">
        <f t="shared" si="73"/>
        <v>4100.9182743504371</v>
      </c>
      <c r="C331" s="75">
        <f t="shared" si="74"/>
        <v>2918.9526255796932</v>
      </c>
      <c r="D331" s="75">
        <f t="shared" si="75"/>
        <v>1181.9656487707441</v>
      </c>
      <c r="E331" s="75">
        <f t="shared" si="76"/>
        <v>121645.43158212373</v>
      </c>
      <c r="F331" s="64"/>
      <c r="G331" s="75">
        <f t="shared" si="77"/>
        <v>1556.848258079604</v>
      </c>
      <c r="H331" s="75">
        <f t="shared" si="81"/>
        <v>1160.4444444444443</v>
      </c>
      <c r="I331" s="75">
        <f t="shared" si="78"/>
        <v>396.40381363515974</v>
      </c>
      <c r="J331" s="75">
        <f t="shared" si="79"/>
        <v>40615.555555557497</v>
      </c>
      <c r="K331" s="69"/>
      <c r="L331" s="75">
        <f>+M331+N331</f>
        <v>1362.7630250825546</v>
      </c>
      <c r="M331" s="75">
        <f>IF(O330&lt;0,0,+O330/($C$3-A330))</f>
        <v>1015.7770825411517</v>
      </c>
      <c r="N331" s="75">
        <f t="shared" si="84"/>
        <v>346.98594254140295</v>
      </c>
      <c r="O331" s="75">
        <f t="shared" si="80"/>
        <v>35552.197888940311</v>
      </c>
      <c r="T331" s="74"/>
    </row>
    <row r="332" spans="1:20" s="61" customFormat="1" outlineLevel="1" x14ac:dyDescent="0.25">
      <c r="A332" s="71">
        <v>326</v>
      </c>
      <c r="B332" s="75">
        <f t="shared" si="73"/>
        <v>4100.9182743504371</v>
      </c>
      <c r="C332" s="75">
        <f t="shared" si="74"/>
        <v>2946.6499626296759</v>
      </c>
      <c r="D332" s="75">
        <f t="shared" si="75"/>
        <v>1154.2683117207609</v>
      </c>
      <c r="E332" s="75">
        <f t="shared" si="76"/>
        <v>118698.78161949405</v>
      </c>
      <c r="F332" s="64"/>
      <c r="G332" s="75">
        <f t="shared" si="77"/>
        <v>1545.8370410341836</v>
      </c>
      <c r="H332" s="75">
        <f t="shared" si="81"/>
        <v>1160.4444444444443</v>
      </c>
      <c r="I332" s="75">
        <f t="shared" si="78"/>
        <v>385.39259658973913</v>
      </c>
      <c r="J332" s="75">
        <f t="shared" si="79"/>
        <v>39455.111111113052</v>
      </c>
      <c r="K332" s="69"/>
      <c r="L332" s="75">
        <f t="shared" si="82"/>
        <v>1362.7630250825546</v>
      </c>
      <c r="M332" s="75">
        <f t="shared" si="83"/>
        <v>1025.4155809450795</v>
      </c>
      <c r="N332" s="75">
        <f t="shared" si="84"/>
        <v>337.34744413747512</v>
      </c>
      <c r="O332" s="75">
        <f t="shared" si="80"/>
        <v>34526.782307995229</v>
      </c>
      <c r="T332" s="74"/>
    </row>
    <row r="333" spans="1:20" s="61" customFormat="1" outlineLevel="1" x14ac:dyDescent="0.25">
      <c r="A333" s="71">
        <v>327</v>
      </c>
      <c r="B333" s="75">
        <f t="shared" si="73"/>
        <v>4100.9182743504371</v>
      </c>
      <c r="C333" s="75">
        <f t="shared" si="74"/>
        <v>2974.6101139757661</v>
      </c>
      <c r="D333" s="75">
        <f t="shared" si="75"/>
        <v>1126.3081603746712</v>
      </c>
      <c r="E333" s="75">
        <f t="shared" si="76"/>
        <v>115724.17150551829</v>
      </c>
      <c r="F333" s="64"/>
      <c r="G333" s="75">
        <f t="shared" si="77"/>
        <v>1534.825823988763</v>
      </c>
      <c r="H333" s="75">
        <f t="shared" si="81"/>
        <v>1160.4444444444443</v>
      </c>
      <c r="I333" s="75">
        <f t="shared" si="78"/>
        <v>374.38137954431858</v>
      </c>
      <c r="J333" s="75">
        <f t="shared" si="79"/>
        <v>38294.666666668607</v>
      </c>
      <c r="K333" s="69"/>
      <c r="L333" s="75">
        <f t="shared" si="82"/>
        <v>1362.7630250825546</v>
      </c>
      <c r="M333" s="75">
        <f t="shared" si="83"/>
        <v>1035.1455370645626</v>
      </c>
      <c r="N333" s="75">
        <f t="shared" si="84"/>
        <v>327.617488017992</v>
      </c>
      <c r="O333" s="75">
        <f t="shared" si="80"/>
        <v>33491.636770930665</v>
      </c>
      <c r="T333" s="74"/>
    </row>
    <row r="334" spans="1:20" s="61" customFormat="1" outlineLevel="1" x14ac:dyDescent="0.25">
      <c r="A334" s="71">
        <v>328</v>
      </c>
      <c r="B334" s="75">
        <f t="shared" si="73"/>
        <v>4100.9182743504371</v>
      </c>
      <c r="C334" s="75">
        <f t="shared" si="74"/>
        <v>3002.8355734083989</v>
      </c>
      <c r="D334" s="75">
        <f t="shared" si="75"/>
        <v>1098.0827009420386</v>
      </c>
      <c r="E334" s="75">
        <f t="shared" si="76"/>
        <v>112721.33593210988</v>
      </c>
      <c r="F334" s="64"/>
      <c r="G334" s="75">
        <f t="shared" si="77"/>
        <v>1523.8146069433424</v>
      </c>
      <c r="H334" s="75">
        <f t="shared" si="81"/>
        <v>1160.4444444444443</v>
      </c>
      <c r="I334" s="75">
        <f t="shared" si="78"/>
        <v>363.37016249889797</v>
      </c>
      <c r="J334" s="75">
        <f t="shared" si="79"/>
        <v>37134.222222224162</v>
      </c>
      <c r="K334" s="69"/>
      <c r="L334" s="75">
        <f t="shared" si="82"/>
        <v>1362.7630250825546</v>
      </c>
      <c r="M334" s="75">
        <f t="shared" si="83"/>
        <v>1044.967818722926</v>
      </c>
      <c r="N334" s="75">
        <f t="shared" si="84"/>
        <v>317.79520635962865</v>
      </c>
      <c r="O334" s="75">
        <f t="shared" si="80"/>
        <v>32446.668952207739</v>
      </c>
      <c r="T334" s="74"/>
    </row>
    <row r="335" spans="1:20" s="61" customFormat="1" outlineLevel="1" x14ac:dyDescent="0.25">
      <c r="A335" s="71">
        <v>329</v>
      </c>
      <c r="B335" s="75">
        <f t="shared" si="73"/>
        <v>4100.9182743504371</v>
      </c>
      <c r="C335" s="75">
        <f t="shared" si="74"/>
        <v>3031.3288583810709</v>
      </c>
      <c r="D335" s="75">
        <f t="shared" si="75"/>
        <v>1069.5894159693662</v>
      </c>
      <c r="E335" s="75">
        <f t="shared" si="76"/>
        <v>109690.00707372882</v>
      </c>
      <c r="F335" s="64"/>
      <c r="G335" s="75">
        <f t="shared" si="77"/>
        <v>1512.8033898979218</v>
      </c>
      <c r="H335" s="75">
        <f t="shared" si="81"/>
        <v>1160.4444444444443</v>
      </c>
      <c r="I335" s="75">
        <f t="shared" si="78"/>
        <v>352.35894545347736</v>
      </c>
      <c r="J335" s="75">
        <f t="shared" si="79"/>
        <v>35973.777777779716</v>
      </c>
      <c r="K335" s="69"/>
      <c r="L335" s="75">
        <f t="shared" si="82"/>
        <v>1362.7630250825546</v>
      </c>
      <c r="M335" s="75">
        <f t="shared" si="83"/>
        <v>1054.8833019780907</v>
      </c>
      <c r="N335" s="75">
        <f t="shared" si="84"/>
        <v>307.87972310446389</v>
      </c>
      <c r="O335" s="75">
        <f t="shared" si="80"/>
        <v>31391.785650229649</v>
      </c>
      <c r="T335" s="74"/>
    </row>
    <row r="336" spans="1:20" s="61" customFormat="1" outlineLevel="1" x14ac:dyDescent="0.25">
      <c r="A336" s="71">
        <v>330</v>
      </c>
      <c r="B336" s="75">
        <f t="shared" si="73"/>
        <v>4100.9182743504371</v>
      </c>
      <c r="C336" s="75">
        <f t="shared" si="74"/>
        <v>3060.0925102348751</v>
      </c>
      <c r="D336" s="75">
        <f t="shared" si="75"/>
        <v>1040.8257641155624</v>
      </c>
      <c r="E336" s="75">
        <f t="shared" si="76"/>
        <v>106629.91456349395</v>
      </c>
      <c r="F336" s="64"/>
      <c r="G336" s="75">
        <f t="shared" si="77"/>
        <v>1501.7921728525012</v>
      </c>
      <c r="H336" s="75">
        <f t="shared" si="81"/>
        <v>1160.4444444444443</v>
      </c>
      <c r="I336" s="75">
        <f t="shared" si="78"/>
        <v>341.34772840805675</v>
      </c>
      <c r="J336" s="75">
        <f t="shared" si="79"/>
        <v>34813.333333335271</v>
      </c>
      <c r="K336" s="69"/>
      <c r="L336" s="75">
        <f t="shared" si="82"/>
        <v>1362.7630250825546</v>
      </c>
      <c r="M336" s="75">
        <f t="shared" si="83"/>
        <v>1064.89287120071</v>
      </c>
      <c r="N336" s="75">
        <f t="shared" si="84"/>
        <v>297.87015388184454</v>
      </c>
      <c r="O336" s="75">
        <f t="shared" si="80"/>
        <v>30326.892779028938</v>
      </c>
      <c r="T336" s="74"/>
    </row>
    <row r="337" spans="1:20" s="61" customFormat="1" outlineLevel="1" x14ac:dyDescent="0.25">
      <c r="A337" s="71">
        <v>331</v>
      </c>
      <c r="B337" s="75">
        <f t="shared" si="73"/>
        <v>4100.9182743504371</v>
      </c>
      <c r="C337" s="75">
        <f t="shared" si="74"/>
        <v>3089.1290944251614</v>
      </c>
      <c r="D337" s="75">
        <f t="shared" si="75"/>
        <v>1011.7891799252752</v>
      </c>
      <c r="E337" s="75">
        <f t="shared" si="76"/>
        <v>103540.78546906878</v>
      </c>
      <c r="F337" s="64"/>
      <c r="G337" s="75">
        <f t="shared" si="77"/>
        <v>1490.7809558070805</v>
      </c>
      <c r="H337" s="75">
        <f t="shared" si="81"/>
        <v>1160.4444444444443</v>
      </c>
      <c r="I337" s="75">
        <f t="shared" si="78"/>
        <v>330.33651136263614</v>
      </c>
      <c r="J337" s="75">
        <f t="shared" si="79"/>
        <v>33652.888888890826</v>
      </c>
      <c r="K337" s="69"/>
      <c r="L337" s="75">
        <f t="shared" si="82"/>
        <v>1362.7630250825546</v>
      </c>
      <c r="M337" s="75">
        <f t="shared" si="83"/>
        <v>1074.9974191530473</v>
      </c>
      <c r="N337" s="75">
        <f t="shared" si="84"/>
        <v>287.76560592950739</v>
      </c>
      <c r="O337" s="75">
        <f t="shared" si="80"/>
        <v>29251.895359875889</v>
      </c>
      <c r="T337" s="74"/>
    </row>
    <row r="338" spans="1:20" s="61" customFormat="1" outlineLevel="1" x14ac:dyDescent="0.25">
      <c r="A338" s="71">
        <v>332</v>
      </c>
      <c r="B338" s="75">
        <f t="shared" si="73"/>
        <v>4100.9182743504371</v>
      </c>
      <c r="C338" s="75">
        <f t="shared" si="74"/>
        <v>3118.4412007503588</v>
      </c>
      <c r="D338" s="75">
        <f t="shared" si="75"/>
        <v>982.47707360007871</v>
      </c>
      <c r="E338" s="75">
        <f t="shared" si="76"/>
        <v>100422.34426831843</v>
      </c>
      <c r="F338" s="64"/>
      <c r="G338" s="75">
        <f t="shared" si="77"/>
        <v>1479.7697387616599</v>
      </c>
      <c r="H338" s="75">
        <f t="shared" si="81"/>
        <v>1160.4444444444443</v>
      </c>
      <c r="I338" s="75">
        <f t="shared" si="78"/>
        <v>319.32529431721554</v>
      </c>
      <c r="J338" s="75">
        <f t="shared" si="79"/>
        <v>32492.444444446381</v>
      </c>
      <c r="K338" s="69"/>
      <c r="L338" s="75">
        <f t="shared" si="82"/>
        <v>1362.7630250825546</v>
      </c>
      <c r="M338" s="75">
        <f t="shared" si="83"/>
        <v>1085.1978470686017</v>
      </c>
      <c r="N338" s="75">
        <f t="shared" si="84"/>
        <v>277.5651780139529</v>
      </c>
      <c r="O338" s="75">
        <f t="shared" si="80"/>
        <v>28166.697512807288</v>
      </c>
      <c r="T338" s="74"/>
    </row>
    <row r="339" spans="1:20" s="61" customFormat="1" outlineLevel="1" x14ac:dyDescent="0.25">
      <c r="A339" s="71">
        <v>333</v>
      </c>
      <c r="B339" s="75">
        <f t="shared" si="73"/>
        <v>4100.9182743504371</v>
      </c>
      <c r="C339" s="75">
        <f t="shared" si="74"/>
        <v>3148.0314435829514</v>
      </c>
      <c r="D339" s="75">
        <f t="shared" si="75"/>
        <v>952.88683076748612</v>
      </c>
      <c r="E339" s="75">
        <f t="shared" si="76"/>
        <v>97274.312824735476</v>
      </c>
      <c r="F339" s="64"/>
      <c r="G339" s="75">
        <f t="shared" si="77"/>
        <v>1468.7585217162393</v>
      </c>
      <c r="H339" s="75">
        <f t="shared" si="81"/>
        <v>1160.4444444444443</v>
      </c>
      <c r="I339" s="75">
        <f t="shared" si="78"/>
        <v>308.31407727179493</v>
      </c>
      <c r="J339" s="75">
        <f t="shared" si="79"/>
        <v>31332.000000001935</v>
      </c>
      <c r="K339" s="69"/>
      <c r="L339" s="75">
        <f t="shared" si="82"/>
        <v>1362.7630250825546</v>
      </c>
      <c r="M339" s="75">
        <f t="shared" si="83"/>
        <v>1095.4950647324908</v>
      </c>
      <c r="N339" s="75">
        <f t="shared" si="84"/>
        <v>267.26796035006362</v>
      </c>
      <c r="O339" s="75">
        <f t="shared" si="80"/>
        <v>27071.202448074797</v>
      </c>
      <c r="T339" s="74"/>
    </row>
    <row r="340" spans="1:20" s="61" customFormat="1" outlineLevel="1" x14ac:dyDescent="0.25">
      <c r="A340" s="71">
        <v>334</v>
      </c>
      <c r="B340" s="75">
        <f t="shared" si="73"/>
        <v>4100.9182743504371</v>
      </c>
      <c r="C340" s="75">
        <f t="shared" si="74"/>
        <v>3177.9024621026665</v>
      </c>
      <c r="D340" s="75">
        <f t="shared" si="75"/>
        <v>923.0158122477709</v>
      </c>
      <c r="E340" s="75">
        <f t="shared" si="76"/>
        <v>94096.410362632814</v>
      </c>
      <c r="F340" s="64"/>
      <c r="G340" s="75">
        <f t="shared" si="77"/>
        <v>1457.7473046708187</v>
      </c>
      <c r="H340" s="75">
        <f t="shared" si="81"/>
        <v>1160.4444444444443</v>
      </c>
      <c r="I340" s="75">
        <f t="shared" si="78"/>
        <v>297.30286022637438</v>
      </c>
      <c r="J340" s="75">
        <f t="shared" si="79"/>
        <v>30171.55555555749</v>
      </c>
      <c r="K340" s="69"/>
      <c r="L340" s="75">
        <f t="shared" si="82"/>
        <v>1362.7630250825546</v>
      </c>
      <c r="M340" s="75">
        <f t="shared" si="83"/>
        <v>1105.8899905625951</v>
      </c>
      <c r="N340" s="75">
        <f t="shared" si="84"/>
        <v>256.87303451995939</v>
      </c>
      <c r="O340" s="75">
        <f t="shared" si="80"/>
        <v>25965.312457512202</v>
      </c>
      <c r="T340" s="74"/>
    </row>
    <row r="341" spans="1:20" s="61" customFormat="1" outlineLevel="1" x14ac:dyDescent="0.25">
      <c r="A341" s="71">
        <v>335</v>
      </c>
      <c r="B341" s="75">
        <f t="shared" si="73"/>
        <v>4100.9182743504371</v>
      </c>
      <c r="C341" s="75">
        <f t="shared" si="74"/>
        <v>3208.0569205318602</v>
      </c>
      <c r="D341" s="75">
        <f t="shared" si="75"/>
        <v>892.86135381857719</v>
      </c>
      <c r="E341" s="75">
        <f t="shared" si="76"/>
        <v>90888.353442100954</v>
      </c>
      <c r="F341" s="64"/>
      <c r="G341" s="75">
        <f t="shared" si="77"/>
        <v>1446.7360876253981</v>
      </c>
      <c r="H341" s="75">
        <f t="shared" si="81"/>
        <v>1160.4444444444443</v>
      </c>
      <c r="I341" s="75">
        <f t="shared" si="78"/>
        <v>286.29164318095377</v>
      </c>
      <c r="J341" s="75">
        <f t="shared" si="79"/>
        <v>29011.111111113045</v>
      </c>
      <c r="K341" s="69"/>
      <c r="L341" s="75">
        <f t="shared" si="82"/>
        <v>1362.7630250825546</v>
      </c>
      <c r="M341" s="75">
        <f t="shared" si="83"/>
        <v>1116.3835516914717</v>
      </c>
      <c r="N341" s="75">
        <f t="shared" si="84"/>
        <v>246.37947339108291</v>
      </c>
      <c r="O341" s="75">
        <f t="shared" si="80"/>
        <v>24848.928905820729</v>
      </c>
      <c r="T341" s="74"/>
    </row>
    <row r="342" spans="1:20" s="61" customFormat="1" x14ac:dyDescent="0.25">
      <c r="A342" s="69">
        <v>336</v>
      </c>
      <c r="B342" s="73">
        <f t="shared" si="73"/>
        <v>4100.9182743504371</v>
      </c>
      <c r="C342" s="73">
        <f t="shared" si="74"/>
        <v>3238.4975083731433</v>
      </c>
      <c r="D342" s="73">
        <f t="shared" si="75"/>
        <v>862.4207659772942</v>
      </c>
      <c r="E342" s="73">
        <f t="shared" si="76"/>
        <v>87649.855933727813</v>
      </c>
      <c r="F342" s="64"/>
      <c r="G342" s="73">
        <f t="shared" si="77"/>
        <v>1435.7248705799775</v>
      </c>
      <c r="H342" s="73">
        <f t="shared" si="81"/>
        <v>1160.4444444444443</v>
      </c>
      <c r="I342" s="73">
        <f t="shared" si="78"/>
        <v>275.28042613553316</v>
      </c>
      <c r="J342" s="73">
        <f t="shared" si="79"/>
        <v>27850.6666666686</v>
      </c>
      <c r="K342" s="69"/>
      <c r="L342" s="73">
        <f t="shared" si="82"/>
        <v>1362.7630250825546</v>
      </c>
      <c r="M342" s="73">
        <f t="shared" si="83"/>
        <v>1126.9766840490465</v>
      </c>
      <c r="N342" s="73">
        <f t="shared" si="84"/>
        <v>235.78634103350814</v>
      </c>
      <c r="O342" s="73">
        <f t="shared" si="80"/>
        <v>23721.95222177168</v>
      </c>
      <c r="T342" s="74"/>
    </row>
    <row r="343" spans="1:20" s="61" customFormat="1" outlineLevel="1" x14ac:dyDescent="0.25">
      <c r="A343" s="71">
        <v>337</v>
      </c>
      <c r="B343" s="75">
        <f t="shared" si="73"/>
        <v>4100.9182743504371</v>
      </c>
      <c r="C343" s="75">
        <f t="shared" si="74"/>
        <v>3269.2269406492587</v>
      </c>
      <c r="D343" s="75">
        <f t="shared" si="75"/>
        <v>831.69133370117834</v>
      </c>
      <c r="E343" s="75">
        <f t="shared" si="76"/>
        <v>84380.628993078557</v>
      </c>
      <c r="F343" s="64"/>
      <c r="G343" s="75">
        <f t="shared" si="77"/>
        <v>1424.7136535345569</v>
      </c>
      <c r="H343" s="75">
        <f t="shared" si="81"/>
        <v>1160.4444444444443</v>
      </c>
      <c r="I343" s="75">
        <f t="shared" si="78"/>
        <v>264.26920909011255</v>
      </c>
      <c r="J343" s="75">
        <f t="shared" si="79"/>
        <v>26690.222222224154</v>
      </c>
      <c r="K343" s="69"/>
      <c r="L343" s="75">
        <f>+M343+N343</f>
        <v>1213.5073685436171</v>
      </c>
      <c r="M343" s="75">
        <f>IF(O342&lt;0,0,+O342/($C$3-A342))</f>
        <v>988.41467590715331</v>
      </c>
      <c r="N343" s="75">
        <f t="shared" si="84"/>
        <v>225.09269263646371</v>
      </c>
      <c r="O343" s="75">
        <f t="shared" si="80"/>
        <v>22733.537545864529</v>
      </c>
      <c r="T343" s="74"/>
    </row>
    <row r="344" spans="1:20" s="61" customFormat="1" outlineLevel="1" x14ac:dyDescent="0.25">
      <c r="A344" s="71">
        <v>338</v>
      </c>
      <c r="B344" s="75">
        <f t="shared" si="73"/>
        <v>4100.9182743504371</v>
      </c>
      <c r="C344" s="75">
        <f t="shared" si="74"/>
        <v>3300.2479581452399</v>
      </c>
      <c r="D344" s="75">
        <f t="shared" si="75"/>
        <v>800.67031620519708</v>
      </c>
      <c r="E344" s="75">
        <f t="shared" si="76"/>
        <v>81080.381034933322</v>
      </c>
      <c r="F344" s="64"/>
      <c r="G344" s="75">
        <f t="shared" si="77"/>
        <v>1413.7024364891363</v>
      </c>
      <c r="H344" s="75">
        <f t="shared" si="81"/>
        <v>1160.4444444444443</v>
      </c>
      <c r="I344" s="75">
        <f t="shared" si="78"/>
        <v>253.25799204469195</v>
      </c>
      <c r="J344" s="75">
        <f t="shared" si="79"/>
        <v>25529.777777779709</v>
      </c>
      <c r="K344" s="69"/>
      <c r="L344" s="75">
        <f t="shared" si="82"/>
        <v>1213.5073685436171</v>
      </c>
      <c r="M344" s="75">
        <f t="shared" si="83"/>
        <v>997.79353810033933</v>
      </c>
      <c r="N344" s="75">
        <f t="shared" si="84"/>
        <v>215.71383044327774</v>
      </c>
      <c r="O344" s="75">
        <f t="shared" si="80"/>
        <v>21735.744007764188</v>
      </c>
      <c r="T344" s="74"/>
    </row>
    <row r="345" spans="1:20" s="61" customFormat="1" outlineLevel="1" x14ac:dyDescent="0.25">
      <c r="A345" s="71">
        <v>339</v>
      </c>
      <c r="B345" s="75">
        <f t="shared" si="73"/>
        <v>4100.9182743504371</v>
      </c>
      <c r="C345" s="75">
        <f t="shared" si="74"/>
        <v>3331.5633276528611</v>
      </c>
      <c r="D345" s="75">
        <f t="shared" si="75"/>
        <v>769.35494669757645</v>
      </c>
      <c r="E345" s="75">
        <f t="shared" si="76"/>
        <v>77748.817707280454</v>
      </c>
      <c r="F345" s="64"/>
      <c r="G345" s="75">
        <f t="shared" si="77"/>
        <v>1402.6912194437157</v>
      </c>
      <c r="H345" s="75">
        <f t="shared" si="81"/>
        <v>1160.4444444444443</v>
      </c>
      <c r="I345" s="75">
        <f t="shared" si="78"/>
        <v>242.24677499927137</v>
      </c>
      <c r="J345" s="75">
        <f t="shared" si="79"/>
        <v>24369.333333335264</v>
      </c>
      <c r="K345" s="69"/>
      <c r="L345" s="75">
        <f t="shared" si="82"/>
        <v>1213.5073685436171</v>
      </c>
      <c r="M345" s="75">
        <f t="shared" si="83"/>
        <v>1007.2613943748385</v>
      </c>
      <c r="N345" s="75">
        <f t="shared" si="84"/>
        <v>206.24597416877859</v>
      </c>
      <c r="O345" s="75">
        <f t="shared" si="80"/>
        <v>20728.482613389348</v>
      </c>
      <c r="T345" s="74"/>
    </row>
    <row r="346" spans="1:20" s="61" customFormat="1" outlineLevel="1" x14ac:dyDescent="0.25">
      <c r="A346" s="71">
        <v>340</v>
      </c>
      <c r="B346" s="75">
        <f t="shared" si="73"/>
        <v>4100.918274350438</v>
      </c>
      <c r="C346" s="75">
        <f t="shared" si="74"/>
        <v>3363.1758422174098</v>
      </c>
      <c r="D346" s="75">
        <f t="shared" si="75"/>
        <v>737.74243213302793</v>
      </c>
      <c r="E346" s="75">
        <f t="shared" si="76"/>
        <v>74385.641865063051</v>
      </c>
      <c r="F346" s="64"/>
      <c r="G346" s="75">
        <f t="shared" si="77"/>
        <v>1391.6800023982951</v>
      </c>
      <c r="H346" s="75">
        <f t="shared" si="81"/>
        <v>1160.4444444444443</v>
      </c>
      <c r="I346" s="75">
        <f t="shared" si="78"/>
        <v>231.23555795385076</v>
      </c>
      <c r="J346" s="75">
        <f t="shared" si="79"/>
        <v>23208.888888890819</v>
      </c>
      <c r="K346" s="69"/>
      <c r="L346" s="75">
        <f t="shared" si="82"/>
        <v>1213.5073685436171</v>
      </c>
      <c r="M346" s="75">
        <f t="shared" si="83"/>
        <v>1016.8190891770607</v>
      </c>
      <c r="N346" s="75">
        <f t="shared" si="84"/>
        <v>196.68827936655634</v>
      </c>
      <c r="O346" s="75">
        <f t="shared" si="80"/>
        <v>19711.663524212287</v>
      </c>
      <c r="T346" s="74"/>
    </row>
    <row r="347" spans="1:20" s="61" customFormat="1" outlineLevel="1" x14ac:dyDescent="0.25">
      <c r="A347" s="71">
        <v>341</v>
      </c>
      <c r="B347" s="75">
        <f t="shared" si="73"/>
        <v>4100.9182743504371</v>
      </c>
      <c r="C347" s="75">
        <f t="shared" si="74"/>
        <v>3395.0883213868024</v>
      </c>
      <c r="D347" s="75">
        <f t="shared" si="75"/>
        <v>705.82995296363504</v>
      </c>
      <c r="E347" s="75">
        <f t="shared" si="76"/>
        <v>70990.553543676244</v>
      </c>
      <c r="F347" s="64"/>
      <c r="G347" s="75">
        <f t="shared" si="77"/>
        <v>1380.6687853528745</v>
      </c>
      <c r="H347" s="75">
        <f t="shared" si="81"/>
        <v>1160.4444444444443</v>
      </c>
      <c r="I347" s="75">
        <f t="shared" si="78"/>
        <v>220.22434090843015</v>
      </c>
      <c r="J347" s="75">
        <f t="shared" si="79"/>
        <v>22048.444444446373</v>
      </c>
      <c r="K347" s="69"/>
      <c r="L347" s="75">
        <f t="shared" si="82"/>
        <v>1213.5073685436171</v>
      </c>
      <c r="M347" s="75">
        <f t="shared" si="83"/>
        <v>1026.4674749661931</v>
      </c>
      <c r="N347" s="75">
        <f t="shared" si="84"/>
        <v>187.0398935774239</v>
      </c>
      <c r="O347" s="75">
        <f t="shared" si="80"/>
        <v>18685.196049246093</v>
      </c>
      <c r="T347" s="74"/>
    </row>
    <row r="348" spans="1:20" s="61" customFormat="1" outlineLevel="1" x14ac:dyDescent="0.25">
      <c r="A348" s="71">
        <v>342</v>
      </c>
      <c r="B348" s="75">
        <f t="shared" si="73"/>
        <v>4100.9182743504371</v>
      </c>
      <c r="C348" s="75">
        <f t="shared" si="74"/>
        <v>3427.3036114630627</v>
      </c>
      <c r="D348" s="75">
        <f t="shared" si="75"/>
        <v>673.61466288737449</v>
      </c>
      <c r="E348" s="75">
        <f t="shared" si="76"/>
        <v>67563.249932213177</v>
      </c>
      <c r="F348" s="64"/>
      <c r="G348" s="75">
        <f t="shared" si="77"/>
        <v>1369.6575683074539</v>
      </c>
      <c r="H348" s="75">
        <f t="shared" si="81"/>
        <v>1160.4444444444443</v>
      </c>
      <c r="I348" s="75">
        <f t="shared" si="78"/>
        <v>209.21312386300954</v>
      </c>
      <c r="J348" s="75">
        <f t="shared" si="79"/>
        <v>20888.000000001928</v>
      </c>
      <c r="K348" s="69"/>
      <c r="L348" s="75">
        <f t="shared" si="82"/>
        <v>1213.5073685436171</v>
      </c>
      <c r="M348" s="75">
        <f t="shared" si="83"/>
        <v>1036.2074122902318</v>
      </c>
      <c r="N348" s="75">
        <f t="shared" si="84"/>
        <v>177.29995625338537</v>
      </c>
      <c r="O348" s="75">
        <f t="shared" si="80"/>
        <v>17648.988636955863</v>
      </c>
      <c r="T348" s="74"/>
    </row>
    <row r="349" spans="1:20" s="61" customFormat="1" outlineLevel="1" x14ac:dyDescent="0.25">
      <c r="A349" s="71">
        <v>343</v>
      </c>
      <c r="B349" s="75">
        <f t="shared" si="73"/>
        <v>4100.9182743504371</v>
      </c>
      <c r="C349" s="75">
        <f t="shared" si="74"/>
        <v>3459.8245857561847</v>
      </c>
      <c r="D349" s="75">
        <f t="shared" si="75"/>
        <v>641.09368859425285</v>
      </c>
      <c r="E349" s="75">
        <f t="shared" si="76"/>
        <v>64103.425346456992</v>
      </c>
      <c r="F349" s="64"/>
      <c r="G349" s="75">
        <f t="shared" si="77"/>
        <v>1358.6463512620332</v>
      </c>
      <c r="H349" s="75">
        <f t="shared" si="81"/>
        <v>1160.4444444444443</v>
      </c>
      <c r="I349" s="75">
        <f t="shared" si="78"/>
        <v>198.20190681758896</v>
      </c>
      <c r="J349" s="75">
        <f t="shared" si="79"/>
        <v>19727.555555557483</v>
      </c>
      <c r="K349" s="69"/>
      <c r="L349" s="75">
        <f t="shared" si="82"/>
        <v>1213.5073685436171</v>
      </c>
      <c r="M349" s="75">
        <f t="shared" si="83"/>
        <v>1046.0397698627339</v>
      </c>
      <c r="N349" s="75">
        <f t="shared" si="84"/>
        <v>167.46759868088324</v>
      </c>
      <c r="O349" s="75">
        <f t="shared" si="80"/>
        <v>16602.948867093128</v>
      </c>
      <c r="T349" s="74"/>
    </row>
    <row r="350" spans="1:20" s="61" customFormat="1" outlineLevel="1" x14ac:dyDescent="0.25">
      <c r="A350" s="71">
        <v>344</v>
      </c>
      <c r="B350" s="75">
        <f t="shared" si="73"/>
        <v>4100.9182743504371</v>
      </c>
      <c r="C350" s="75">
        <f t="shared" si="74"/>
        <v>3492.6541448404046</v>
      </c>
      <c r="D350" s="75">
        <f t="shared" si="75"/>
        <v>608.26412951003283</v>
      </c>
      <c r="E350" s="75">
        <f t="shared" si="76"/>
        <v>60610.77120161659</v>
      </c>
      <c r="F350" s="64"/>
      <c r="G350" s="75">
        <f t="shared" si="77"/>
        <v>1347.6351342166126</v>
      </c>
      <c r="H350" s="75">
        <f t="shared" si="81"/>
        <v>1160.4444444444443</v>
      </c>
      <c r="I350" s="75">
        <f t="shared" si="78"/>
        <v>187.19068977216835</v>
      </c>
      <c r="J350" s="75">
        <f t="shared" si="79"/>
        <v>18567.111111113038</v>
      </c>
      <c r="K350" s="69"/>
      <c r="L350" s="75">
        <f t="shared" si="82"/>
        <v>1213.5073685436171</v>
      </c>
      <c r="M350" s="75">
        <f t="shared" si="83"/>
        <v>1055.9654246403002</v>
      </c>
      <c r="N350" s="75">
        <f t="shared" si="84"/>
        <v>157.54194390331685</v>
      </c>
      <c r="O350" s="75">
        <f t="shared" si="80"/>
        <v>15546.983442452827</v>
      </c>
      <c r="T350" s="74"/>
    </row>
    <row r="351" spans="1:20" s="61" customFormat="1" outlineLevel="1" x14ac:dyDescent="0.25">
      <c r="A351" s="71">
        <v>345</v>
      </c>
      <c r="B351" s="75">
        <f t="shared" si="73"/>
        <v>4100.918274350438</v>
      </c>
      <c r="C351" s="75">
        <f t="shared" si="74"/>
        <v>3525.7952168129086</v>
      </c>
      <c r="D351" s="75">
        <f t="shared" si="75"/>
        <v>575.12305753752901</v>
      </c>
      <c r="E351" s="75">
        <f t="shared" si="76"/>
        <v>57084.975984803677</v>
      </c>
      <c r="F351" s="64"/>
      <c r="G351" s="75">
        <f t="shared" si="77"/>
        <v>1336.623917171192</v>
      </c>
      <c r="H351" s="75">
        <f t="shared" si="81"/>
        <v>1160.4444444444443</v>
      </c>
      <c r="I351" s="75">
        <f t="shared" si="78"/>
        <v>176.17947272674775</v>
      </c>
      <c r="J351" s="75">
        <f t="shared" si="79"/>
        <v>17406.666666668592</v>
      </c>
      <c r="K351" s="69"/>
      <c r="L351" s="75">
        <f t="shared" si="82"/>
        <v>1213.5073685436171</v>
      </c>
      <c r="M351" s="75">
        <f t="shared" si="83"/>
        <v>1065.9852619007911</v>
      </c>
      <c r="N351" s="75">
        <f t="shared" si="84"/>
        <v>147.52210664282597</v>
      </c>
      <c r="O351" s="75">
        <f t="shared" si="80"/>
        <v>14480.998180552037</v>
      </c>
      <c r="T351" s="74"/>
    </row>
    <row r="352" spans="1:20" s="61" customFormat="1" outlineLevel="1" x14ac:dyDescent="0.25">
      <c r="A352" s="71">
        <v>346</v>
      </c>
      <c r="B352" s="75">
        <f t="shared" si="73"/>
        <v>4100.9182743504371</v>
      </c>
      <c r="C352" s="75">
        <f t="shared" si="74"/>
        <v>3559.2507575549894</v>
      </c>
      <c r="D352" s="75">
        <f t="shared" si="75"/>
        <v>541.66751679544802</v>
      </c>
      <c r="E352" s="75">
        <f t="shared" si="76"/>
        <v>53525.725227248688</v>
      </c>
      <c r="F352" s="64"/>
      <c r="G352" s="75">
        <f t="shared" si="77"/>
        <v>1325.6127001257714</v>
      </c>
      <c r="H352" s="75">
        <f t="shared" si="81"/>
        <v>1160.4444444444443</v>
      </c>
      <c r="I352" s="75">
        <f t="shared" si="78"/>
        <v>165.16825568132717</v>
      </c>
      <c r="J352" s="75">
        <f t="shared" si="79"/>
        <v>16246.222222224147</v>
      </c>
      <c r="K352" s="69"/>
      <c r="L352" s="75">
        <f t="shared" si="82"/>
        <v>1213.5073685436171</v>
      </c>
      <c r="M352" s="75">
        <f t="shared" si="83"/>
        <v>1076.1001753222849</v>
      </c>
      <c r="N352" s="75">
        <f t="shared" si="84"/>
        <v>137.40719322133211</v>
      </c>
      <c r="O352" s="75">
        <f t="shared" si="80"/>
        <v>13404.898005229752</v>
      </c>
      <c r="T352" s="74"/>
    </row>
    <row r="353" spans="1:20" s="61" customFormat="1" outlineLevel="1" x14ac:dyDescent="0.25">
      <c r="A353" s="71">
        <v>347</v>
      </c>
      <c r="B353" s="75">
        <f t="shared" si="73"/>
        <v>4100.918274350438</v>
      </c>
      <c r="C353" s="75">
        <f t="shared" si="74"/>
        <v>3593.0237509956869</v>
      </c>
      <c r="D353" s="75">
        <f t="shared" si="75"/>
        <v>507.89452335475085</v>
      </c>
      <c r="E353" s="75">
        <f t="shared" si="76"/>
        <v>49932.701476253002</v>
      </c>
      <c r="F353" s="64"/>
      <c r="G353" s="75">
        <f t="shared" si="77"/>
        <v>1314.6014830803508</v>
      </c>
      <c r="H353" s="75">
        <f t="shared" si="81"/>
        <v>1160.4444444444443</v>
      </c>
      <c r="I353" s="75">
        <f t="shared" si="78"/>
        <v>154.15703863590656</v>
      </c>
      <c r="J353" s="75">
        <f t="shared" si="79"/>
        <v>15085.777777779702</v>
      </c>
      <c r="K353" s="69"/>
      <c r="L353" s="75">
        <f t="shared" si="82"/>
        <v>1213.5073685436171</v>
      </c>
      <c r="M353" s="75">
        <f t="shared" si="83"/>
        <v>1086.3110670627866</v>
      </c>
      <c r="N353" s="75">
        <f t="shared" si="84"/>
        <v>127.19630148083043</v>
      </c>
      <c r="O353" s="75">
        <f t="shared" si="80"/>
        <v>12318.586938166965</v>
      </c>
      <c r="T353" s="74"/>
    </row>
    <row r="354" spans="1:20" s="61" customFormat="1" x14ac:dyDescent="0.25">
      <c r="A354" s="69">
        <v>348</v>
      </c>
      <c r="B354" s="73">
        <f t="shared" si="73"/>
        <v>4100.9182743504371</v>
      </c>
      <c r="C354" s="73">
        <f t="shared" si="74"/>
        <v>3627.1172093779232</v>
      </c>
      <c r="D354" s="73">
        <f t="shared" si="75"/>
        <v>473.80106497251393</v>
      </c>
      <c r="E354" s="73">
        <f t="shared" si="76"/>
        <v>46305.584266875077</v>
      </c>
      <c r="F354" s="64"/>
      <c r="G354" s="73">
        <f t="shared" si="77"/>
        <v>1303.5902660349302</v>
      </c>
      <c r="H354" s="73">
        <f t="shared" si="81"/>
        <v>1160.4444444444443</v>
      </c>
      <c r="I354" s="73">
        <f t="shared" si="78"/>
        <v>143.14582159048595</v>
      </c>
      <c r="J354" s="73">
        <f t="shared" si="79"/>
        <v>13925.333333335257</v>
      </c>
      <c r="K354" s="69"/>
      <c r="L354" s="73">
        <f t="shared" si="82"/>
        <v>1213.5073685436171</v>
      </c>
      <c r="M354" s="73">
        <f t="shared" si="83"/>
        <v>1096.6188478406914</v>
      </c>
      <c r="N354" s="73">
        <f t="shared" si="84"/>
        <v>116.88852070292569</v>
      </c>
      <c r="O354" s="73">
        <f t="shared" si="80"/>
        <v>11221.968090326274</v>
      </c>
      <c r="T354" s="74"/>
    </row>
    <row r="355" spans="1:20" s="61" customFormat="1" outlineLevel="1" x14ac:dyDescent="0.25">
      <c r="A355" s="71">
        <v>349</v>
      </c>
      <c r="B355" s="75">
        <f t="shared" si="73"/>
        <v>4100.9182743504371</v>
      </c>
      <c r="C355" s="75">
        <f t="shared" si="74"/>
        <v>3661.5341735271732</v>
      </c>
      <c r="D355" s="75">
        <f t="shared" si="75"/>
        <v>439.38410082326408</v>
      </c>
      <c r="E355" s="75">
        <f t="shared" si="76"/>
        <v>42644.050093347905</v>
      </c>
      <c r="F355" s="64"/>
      <c r="G355" s="75">
        <f t="shared" si="77"/>
        <v>1292.5790489895096</v>
      </c>
      <c r="H355" s="75">
        <f t="shared" si="81"/>
        <v>1160.4444444444443</v>
      </c>
      <c r="I355" s="75">
        <f t="shared" si="78"/>
        <v>132.13460454506534</v>
      </c>
      <c r="J355" s="75">
        <f t="shared" si="79"/>
        <v>12764.888888890811</v>
      </c>
      <c r="K355" s="69"/>
      <c r="L355" s="75">
        <f>+M355+N355</f>
        <v>1041.6469390547938</v>
      </c>
      <c r="M355" s="75">
        <f>IF(O354&lt;0,0,+O354/($C$3-A354))</f>
        <v>935.16400752718948</v>
      </c>
      <c r="N355" s="75">
        <f t="shared" si="84"/>
        <v>106.48293152760435</v>
      </c>
      <c r="O355" s="75">
        <f t="shared" si="80"/>
        <v>10286.804082799084</v>
      </c>
      <c r="T355" s="74"/>
    </row>
    <row r="356" spans="1:20" s="61" customFormat="1" outlineLevel="1" x14ac:dyDescent="0.25">
      <c r="A356" s="71">
        <v>350</v>
      </c>
      <c r="B356" s="75">
        <f t="shared" si="73"/>
        <v>4100.9182743504371</v>
      </c>
      <c r="C356" s="75">
        <f t="shared" si="74"/>
        <v>3696.2777131226721</v>
      </c>
      <c r="D356" s="75">
        <f t="shared" si="75"/>
        <v>404.64056122776509</v>
      </c>
      <c r="E356" s="75">
        <f t="shared" si="76"/>
        <v>38947.772380225229</v>
      </c>
      <c r="F356" s="64"/>
      <c r="G356" s="75">
        <f t="shared" si="77"/>
        <v>1281.567831944089</v>
      </c>
      <c r="H356" s="75">
        <f t="shared" si="81"/>
        <v>1160.4444444444443</v>
      </c>
      <c r="I356" s="75">
        <f t="shared" si="78"/>
        <v>121.12338749964475</v>
      </c>
      <c r="J356" s="75">
        <f t="shared" si="79"/>
        <v>11604.444444446366</v>
      </c>
      <c r="K356" s="69"/>
      <c r="L356" s="75">
        <f t="shared" si="82"/>
        <v>1041.6469390547938</v>
      </c>
      <c r="M356" s="75">
        <f t="shared" si="83"/>
        <v>944.03758515448988</v>
      </c>
      <c r="N356" s="75">
        <f t="shared" si="84"/>
        <v>97.609353900303987</v>
      </c>
      <c r="O356" s="75">
        <f t="shared" si="80"/>
        <v>9342.766497644594</v>
      </c>
      <c r="T356" s="74"/>
    </row>
    <row r="357" spans="1:20" s="61" customFormat="1" outlineLevel="1" x14ac:dyDescent="0.25">
      <c r="A357" s="71">
        <v>351</v>
      </c>
      <c r="B357" s="75">
        <f t="shared" si="73"/>
        <v>4100.9182743504371</v>
      </c>
      <c r="C357" s="75">
        <f t="shared" si="74"/>
        <v>3731.3509269712076</v>
      </c>
      <c r="D357" s="75">
        <f t="shared" si="75"/>
        <v>369.56734737922983</v>
      </c>
      <c r="E357" s="75">
        <f t="shared" si="76"/>
        <v>35216.421453254021</v>
      </c>
      <c r="F357" s="64"/>
      <c r="G357" s="75">
        <f t="shared" si="77"/>
        <v>1270.5566148986686</v>
      </c>
      <c r="H357" s="75">
        <f t="shared" si="81"/>
        <v>1160.4444444444443</v>
      </c>
      <c r="I357" s="75">
        <f t="shared" si="78"/>
        <v>110.11217045422416</v>
      </c>
      <c r="J357" s="75">
        <f t="shared" si="79"/>
        <v>10444.000000001921</v>
      </c>
      <c r="K357" s="69"/>
      <c r="L357" s="75">
        <f t="shared" si="82"/>
        <v>1041.6469390547938</v>
      </c>
      <c r="M357" s="75">
        <f t="shared" si="83"/>
        <v>952.99536232248465</v>
      </c>
      <c r="N357" s="75">
        <f t="shared" si="84"/>
        <v>88.651576732309209</v>
      </c>
      <c r="O357" s="75">
        <f t="shared" si="80"/>
        <v>8389.7711353221093</v>
      </c>
      <c r="T357" s="74"/>
    </row>
    <row r="358" spans="1:20" s="61" customFormat="1" outlineLevel="1" x14ac:dyDescent="0.25">
      <c r="A358" s="71">
        <v>352</v>
      </c>
      <c r="B358" s="75">
        <f t="shared" si="73"/>
        <v>4100.918274350438</v>
      </c>
      <c r="C358" s="75">
        <f t="shared" si="74"/>
        <v>3766.7569432835021</v>
      </c>
      <c r="D358" s="75">
        <f t="shared" si="75"/>
        <v>334.16133106693553</v>
      </c>
      <c r="E358" s="75">
        <f t="shared" si="76"/>
        <v>31449.66450997052</v>
      </c>
      <c r="F358" s="64"/>
      <c r="G358" s="75">
        <f t="shared" si="77"/>
        <v>1259.545397853248</v>
      </c>
      <c r="H358" s="75">
        <f t="shared" si="81"/>
        <v>1160.4444444444443</v>
      </c>
      <c r="I358" s="75">
        <f t="shared" si="78"/>
        <v>99.100953408803562</v>
      </c>
      <c r="J358" s="75">
        <f t="shared" si="79"/>
        <v>9283.5555555574756</v>
      </c>
      <c r="K358" s="69"/>
      <c r="L358" s="75">
        <f t="shared" si="82"/>
        <v>1041.6469390547938</v>
      </c>
      <c r="M358" s="75">
        <f t="shared" si="83"/>
        <v>962.0381379831806</v>
      </c>
      <c r="N358" s="75">
        <f t="shared" si="84"/>
        <v>79.608801071613215</v>
      </c>
      <c r="O358" s="75">
        <f t="shared" si="80"/>
        <v>7427.7329973389287</v>
      </c>
      <c r="T358" s="74"/>
    </row>
    <row r="359" spans="1:20" s="61" customFormat="1" outlineLevel="1" x14ac:dyDescent="0.25">
      <c r="A359" s="71">
        <v>353</v>
      </c>
      <c r="B359" s="75">
        <f t="shared" si="73"/>
        <v>4100.9182743504371</v>
      </c>
      <c r="C359" s="75">
        <f t="shared" si="74"/>
        <v>3802.498919953222</v>
      </c>
      <c r="D359" s="75">
        <f t="shared" si="75"/>
        <v>298.41935439721544</v>
      </c>
      <c r="E359" s="75">
        <f t="shared" si="76"/>
        <v>27647.165590017299</v>
      </c>
      <c r="F359" s="64"/>
      <c r="G359" s="75">
        <f t="shared" si="77"/>
        <v>1248.5341808078274</v>
      </c>
      <c r="H359" s="75">
        <f t="shared" si="81"/>
        <v>1160.4444444444443</v>
      </c>
      <c r="I359" s="75">
        <f t="shared" si="78"/>
        <v>88.089736363382954</v>
      </c>
      <c r="J359" s="75">
        <f t="shared" si="79"/>
        <v>8123.1111111130313</v>
      </c>
      <c r="K359" s="69"/>
      <c r="L359" s="75">
        <f t="shared" si="82"/>
        <v>1041.6469390547938</v>
      </c>
      <c r="M359" s="75">
        <f t="shared" si="83"/>
        <v>971.16671866967488</v>
      </c>
      <c r="N359" s="75">
        <f t="shared" si="84"/>
        <v>70.480220385118969</v>
      </c>
      <c r="O359" s="75">
        <f t="shared" si="80"/>
        <v>6456.5662786692537</v>
      </c>
      <c r="T359" s="74"/>
    </row>
    <row r="360" spans="1:20" s="61" customFormat="1" outlineLevel="1" x14ac:dyDescent="0.25">
      <c r="A360" s="71">
        <v>354</v>
      </c>
      <c r="B360" s="75">
        <f t="shared" si="73"/>
        <v>4100.9182743504371</v>
      </c>
      <c r="C360" s="75">
        <f t="shared" si="74"/>
        <v>3838.5800448386335</v>
      </c>
      <c r="D360" s="75">
        <f t="shared" si="75"/>
        <v>262.33822951180366</v>
      </c>
      <c r="E360" s="75">
        <f t="shared" si="76"/>
        <v>23808.585545178667</v>
      </c>
      <c r="F360" s="64"/>
      <c r="G360" s="75">
        <f t="shared" si="77"/>
        <v>1237.5229637624068</v>
      </c>
      <c r="H360" s="75">
        <f t="shared" si="81"/>
        <v>1160.4444444444443</v>
      </c>
      <c r="I360" s="75">
        <f t="shared" si="78"/>
        <v>77.07851931796236</v>
      </c>
      <c r="J360" s="75">
        <f t="shared" si="79"/>
        <v>6962.6666666685869</v>
      </c>
      <c r="K360" s="69"/>
      <c r="L360" s="75">
        <f t="shared" si="82"/>
        <v>1041.6469390547938</v>
      </c>
      <c r="M360" s="75">
        <f t="shared" si="83"/>
        <v>980.38191856808987</v>
      </c>
      <c r="N360" s="75">
        <f t="shared" si="84"/>
        <v>61.265020486703961</v>
      </c>
      <c r="O360" s="75">
        <f t="shared" si="80"/>
        <v>5476.1843601011642</v>
      </c>
      <c r="T360" s="74"/>
    </row>
    <row r="361" spans="1:20" s="61" customFormat="1" outlineLevel="1" x14ac:dyDescent="0.25">
      <c r="A361" s="71">
        <v>355</v>
      </c>
      <c r="B361" s="75">
        <f t="shared" si="73"/>
        <v>4100.9182743504371</v>
      </c>
      <c r="C361" s="75">
        <f t="shared" si="74"/>
        <v>3875.0035360469301</v>
      </c>
      <c r="D361" s="75">
        <f t="shared" si="75"/>
        <v>225.91473830350736</v>
      </c>
      <c r="E361" s="75">
        <f t="shared" si="76"/>
        <v>19933.582009131736</v>
      </c>
      <c r="F361" s="64"/>
      <c r="G361" s="75">
        <f t="shared" si="77"/>
        <v>1226.5117467169862</v>
      </c>
      <c r="H361" s="75">
        <f t="shared" si="81"/>
        <v>1160.4444444444443</v>
      </c>
      <c r="I361" s="75">
        <f t="shared" si="78"/>
        <v>66.067302272541781</v>
      </c>
      <c r="J361" s="75">
        <f t="shared" si="79"/>
        <v>5802.2222222241426</v>
      </c>
      <c r="K361" s="69"/>
      <c r="L361" s="75">
        <f t="shared" si="82"/>
        <v>1041.6469390547938</v>
      </c>
      <c r="M361" s="75">
        <f t="shared" si="83"/>
        <v>989.68455959019172</v>
      </c>
      <c r="N361" s="75">
        <f t="shared" si="84"/>
        <v>51.962379464602101</v>
      </c>
      <c r="O361" s="75">
        <f t="shared" si="80"/>
        <v>4486.4998005109728</v>
      </c>
      <c r="T361" s="74"/>
    </row>
    <row r="362" spans="1:20" s="61" customFormat="1" outlineLevel="1" x14ac:dyDescent="0.25">
      <c r="A362" s="71">
        <v>356</v>
      </c>
      <c r="B362" s="75">
        <f t="shared" si="73"/>
        <v>4100.9182743504371</v>
      </c>
      <c r="C362" s="75">
        <f t="shared" si="74"/>
        <v>3911.7726422212563</v>
      </c>
      <c r="D362" s="75">
        <f t="shared" si="75"/>
        <v>189.14563212918094</v>
      </c>
      <c r="E362" s="75">
        <f t="shared" si="76"/>
        <v>16021.80936691048</v>
      </c>
      <c r="F362" s="64"/>
      <c r="G362" s="75">
        <f t="shared" si="77"/>
        <v>1215.5005296715656</v>
      </c>
      <c r="H362" s="75">
        <f t="shared" si="81"/>
        <v>1160.4444444444443</v>
      </c>
      <c r="I362" s="75">
        <f t="shared" si="78"/>
        <v>55.05608522712118</v>
      </c>
      <c r="J362" s="75">
        <f t="shared" si="79"/>
        <v>4641.7777777796982</v>
      </c>
      <c r="K362" s="69"/>
      <c r="L362" s="75">
        <f t="shared" si="82"/>
        <v>1041.6469390547938</v>
      </c>
      <c r="M362" s="75">
        <f t="shared" si="83"/>
        <v>999.07547144669707</v>
      </c>
      <c r="N362" s="75">
        <f t="shared" si="84"/>
        <v>42.571467608096761</v>
      </c>
      <c r="O362" s="75">
        <f t="shared" si="80"/>
        <v>3487.4243290642758</v>
      </c>
      <c r="T362" s="74"/>
    </row>
    <row r="363" spans="1:20" s="61" customFormat="1" outlineLevel="1" x14ac:dyDescent="0.25">
      <c r="A363" s="71">
        <v>357</v>
      </c>
      <c r="B363" s="75">
        <f t="shared" si="73"/>
        <v>4100.9182743504371</v>
      </c>
      <c r="C363" s="75">
        <f t="shared" si="74"/>
        <v>3948.8906428304604</v>
      </c>
      <c r="D363" s="75">
        <f t="shared" si="75"/>
        <v>152.02763151997664</v>
      </c>
      <c r="E363" s="75">
        <f t="shared" si="76"/>
        <v>12072.91872408002</v>
      </c>
      <c r="F363" s="64"/>
      <c r="G363" s="75">
        <f t="shared" si="77"/>
        <v>1204.489312626145</v>
      </c>
      <c r="H363" s="75">
        <f t="shared" si="81"/>
        <v>1160.4444444444443</v>
      </c>
      <c r="I363" s="75">
        <f t="shared" si="78"/>
        <v>44.044868181700593</v>
      </c>
      <c r="J363" s="75">
        <f t="shared" si="79"/>
        <v>3481.3333333352539</v>
      </c>
      <c r="K363" s="69"/>
      <c r="L363" s="75">
        <f t="shared" si="82"/>
        <v>1041.6469390547938</v>
      </c>
      <c r="M363" s="75">
        <f t="shared" si="83"/>
        <v>1008.5554917212758</v>
      </c>
      <c r="N363" s="75">
        <f t="shared" si="84"/>
        <v>33.091447333518119</v>
      </c>
      <c r="O363" s="75">
        <f t="shared" si="80"/>
        <v>2478.868837343</v>
      </c>
      <c r="T363" s="74"/>
    </row>
    <row r="364" spans="1:20" s="61" customFormat="1" outlineLevel="1" x14ac:dyDescent="0.25">
      <c r="A364" s="71">
        <v>358</v>
      </c>
      <c r="B364" s="75">
        <f t="shared" si="73"/>
        <v>4100.9182743504371</v>
      </c>
      <c r="C364" s="75">
        <f t="shared" si="74"/>
        <v>3986.3608484615916</v>
      </c>
      <c r="D364" s="75">
        <f t="shared" si="75"/>
        <v>114.55742588884586</v>
      </c>
      <c r="E364" s="75">
        <f t="shared" si="76"/>
        <v>8086.5578756184286</v>
      </c>
      <c r="F364" s="64"/>
      <c r="G364" s="75">
        <f t="shared" si="77"/>
        <v>1193.4780955807244</v>
      </c>
      <c r="H364" s="75">
        <f t="shared" si="81"/>
        <v>1160.4444444444443</v>
      </c>
      <c r="I364" s="75">
        <f t="shared" si="78"/>
        <v>33.03365113628</v>
      </c>
      <c r="J364" s="75">
        <f t="shared" si="79"/>
        <v>2320.8888888908095</v>
      </c>
      <c r="K364" s="69"/>
      <c r="L364" s="75">
        <f t="shared" si="82"/>
        <v>1041.6469390547938</v>
      </c>
      <c r="M364" s="75">
        <f t="shared" si="83"/>
        <v>1018.1254659452555</v>
      </c>
      <c r="N364" s="75">
        <f t="shared" si="84"/>
        <v>23.521473109538348</v>
      </c>
      <c r="O364" s="75">
        <f t="shared" si="80"/>
        <v>1460.7433713977443</v>
      </c>
      <c r="T364" s="74"/>
    </row>
    <row r="365" spans="1:20" s="61" customFormat="1" outlineLevel="1" x14ac:dyDescent="0.25">
      <c r="A365" s="71">
        <v>359</v>
      </c>
      <c r="B365" s="75">
        <f t="shared" si="73"/>
        <v>4100.9182743504371</v>
      </c>
      <c r="C365" s="75">
        <f t="shared" si="74"/>
        <v>4024.1866011151724</v>
      </c>
      <c r="D365" s="75">
        <f t="shared" si="75"/>
        <v>76.731673235265035</v>
      </c>
      <c r="E365" s="75">
        <f t="shared" si="76"/>
        <v>4062.3712745032562</v>
      </c>
      <c r="F365" s="64"/>
      <c r="G365" s="75">
        <f t="shared" si="77"/>
        <v>1182.4668785353037</v>
      </c>
      <c r="H365" s="75">
        <f t="shared" si="81"/>
        <v>1160.4444444444443</v>
      </c>
      <c r="I365" s="75">
        <f t="shared" si="78"/>
        <v>22.022434090859409</v>
      </c>
      <c r="J365" s="75">
        <f t="shared" si="79"/>
        <v>1160.4444444463652</v>
      </c>
      <c r="K365" s="69"/>
      <c r="L365" s="75">
        <f t="shared" si="82"/>
        <v>1041.6469390547938</v>
      </c>
      <c r="M365" s="75">
        <f t="shared" si="83"/>
        <v>1027.7862476730359</v>
      </c>
      <c r="N365" s="75">
        <f t="shared" si="84"/>
        <v>13.860691381757935</v>
      </c>
      <c r="O365" s="75">
        <f t="shared" si="80"/>
        <v>432.95712372470848</v>
      </c>
      <c r="T365" s="74"/>
    </row>
    <row r="366" spans="1:20" s="61" customFormat="1" ht="15.75" thickBot="1" x14ac:dyDescent="0.3">
      <c r="A366" s="69">
        <v>360</v>
      </c>
      <c r="B366" s="73">
        <f t="shared" si="73"/>
        <v>4100.9182743504371</v>
      </c>
      <c r="C366" s="73">
        <f t="shared" si="74"/>
        <v>4062.3712745032776</v>
      </c>
      <c r="D366" s="73">
        <f t="shared" si="75"/>
        <v>38.546999847159618</v>
      </c>
      <c r="E366" s="73">
        <f t="shared" si="76"/>
        <v>-2.1373125491663814E-11</v>
      </c>
      <c r="F366" s="64"/>
      <c r="G366" s="73">
        <f t="shared" si="77"/>
        <v>1171.4556614898831</v>
      </c>
      <c r="H366" s="73">
        <f t="shared" si="81"/>
        <v>1160.4444444444443</v>
      </c>
      <c r="I366" s="73">
        <f t="shared" si="78"/>
        <v>11.011217045438817</v>
      </c>
      <c r="J366" s="73">
        <f t="shared" si="79"/>
        <v>1.9208528101444244E-9</v>
      </c>
      <c r="K366" s="69"/>
      <c r="L366" s="73">
        <f t="shared" si="82"/>
        <v>1041.6469390547938</v>
      </c>
      <c r="M366" s="73">
        <f t="shared" si="83"/>
        <v>1037.5386985582174</v>
      </c>
      <c r="N366" s="73">
        <f t="shared" si="84"/>
        <v>4.1082404965764114</v>
      </c>
      <c r="O366" s="73">
        <f t="shared" si="80"/>
        <v>-604.58157483350897</v>
      </c>
      <c r="T366" s="74"/>
    </row>
    <row r="367" spans="1:20" s="61" customFormat="1" ht="15.75" thickBot="1" x14ac:dyDescent="0.3">
      <c r="A367" s="76"/>
      <c r="B367" s="77"/>
      <c r="C367" s="78">
        <f>SUM(C7:C366)</f>
        <v>417760.00000000006</v>
      </c>
      <c r="D367" s="78">
        <f>SUM(D7:D366)</f>
        <v>1058570.5787661583</v>
      </c>
      <c r="E367" s="77"/>
      <c r="F367" s="79"/>
      <c r="G367" s="77"/>
      <c r="H367" s="78">
        <f>SUM(H7:H366)</f>
        <v>417759.99999999808</v>
      </c>
      <c r="I367" s="78">
        <f>SUM(I7:I366)</f>
        <v>715508.88361143414</v>
      </c>
      <c r="J367" s="77"/>
      <c r="K367" s="77"/>
      <c r="L367" s="77"/>
      <c r="M367" s="78">
        <f>SUM(M7:M366)</f>
        <v>418364.58157483349</v>
      </c>
      <c r="N367" s="78">
        <f>SUM(N7:N366)</f>
        <v>696617.24166584737</v>
      </c>
      <c r="O367" s="80"/>
    </row>
    <row r="368" spans="1:20" ht="15.75" thickBot="1" x14ac:dyDescent="0.3">
      <c r="A368" s="71"/>
      <c r="B368" s="71"/>
      <c r="C368" s="187">
        <f>+C367+D367</f>
        <v>1476330.5787661583</v>
      </c>
      <c r="D368" s="188"/>
      <c r="E368" s="71"/>
      <c r="G368" s="71"/>
      <c r="H368" s="187">
        <f>+H367+I367</f>
        <v>1133268.8836114323</v>
      </c>
      <c r="I368" s="188"/>
      <c r="J368" s="71"/>
      <c r="K368" s="71"/>
      <c r="L368" s="71"/>
      <c r="M368" s="187">
        <f>+M367+N367</f>
        <v>1114981.8232406809</v>
      </c>
      <c r="N368" s="188"/>
      <c r="O368" s="71"/>
    </row>
    <row r="369" spans="1:15" x14ac:dyDescent="0.25">
      <c r="A369" s="71"/>
      <c r="B369" s="71"/>
      <c r="C369" s="71"/>
      <c r="D369" s="71"/>
      <c r="E369" s="71"/>
      <c r="G369" s="71"/>
      <c r="H369" s="71"/>
      <c r="I369" s="71"/>
      <c r="J369" s="71"/>
      <c r="K369" s="71"/>
      <c r="L369" s="71"/>
      <c r="M369" s="71"/>
      <c r="N369" s="71"/>
      <c r="O369" s="71"/>
    </row>
    <row r="370" spans="1:15" x14ac:dyDescent="0.25">
      <c r="A370" s="71"/>
      <c r="B370" s="71"/>
      <c r="C370" s="71"/>
      <c r="D370" s="71"/>
      <c r="E370" s="71"/>
      <c r="G370" s="71"/>
      <c r="H370" s="71"/>
      <c r="I370" s="71"/>
      <c r="J370" s="71"/>
      <c r="K370" s="71"/>
      <c r="L370" s="71"/>
      <c r="M370" s="71"/>
      <c r="N370" s="71"/>
      <c r="O370" s="71"/>
    </row>
    <row r="371" spans="1:15" x14ac:dyDescent="0.25">
      <c r="A371" s="71"/>
      <c r="B371" s="71"/>
      <c r="C371" s="71"/>
      <c r="D371" s="71"/>
      <c r="E371" s="71"/>
      <c r="G371" s="71"/>
      <c r="H371" s="71"/>
      <c r="I371" s="71"/>
      <c r="J371" s="71"/>
      <c r="K371" s="71"/>
      <c r="L371" s="71"/>
      <c r="M371" s="71"/>
      <c r="N371" s="71"/>
      <c r="O371" s="71"/>
    </row>
    <row r="372" spans="1:15" x14ac:dyDescent="0.25">
      <c r="A372" s="71"/>
      <c r="B372" s="71"/>
      <c r="C372" s="71"/>
      <c r="D372" s="71"/>
      <c r="E372" s="71"/>
      <c r="G372" s="71"/>
      <c r="H372" s="71"/>
      <c r="I372" s="71"/>
      <c r="J372" s="71"/>
      <c r="K372" s="71"/>
      <c r="L372" s="71"/>
      <c r="M372" s="71"/>
      <c r="N372" s="71"/>
      <c r="O372" s="71"/>
    </row>
    <row r="373" spans="1:15" x14ac:dyDescent="0.25">
      <c r="A373" s="71"/>
      <c r="B373" s="71"/>
      <c r="C373" s="71"/>
      <c r="D373" s="71"/>
      <c r="E373" s="71"/>
      <c r="G373" s="71"/>
      <c r="H373" s="71"/>
      <c r="I373" s="71"/>
      <c r="J373" s="71"/>
      <c r="K373" s="71"/>
      <c r="L373" s="71"/>
      <c r="M373" s="71"/>
      <c r="N373" s="71"/>
      <c r="O373" s="71"/>
    </row>
    <row r="374" spans="1:15" x14ac:dyDescent="0.25">
      <c r="A374" s="71"/>
      <c r="B374" s="71"/>
      <c r="C374" s="71"/>
      <c r="D374" s="71"/>
      <c r="E374" s="71"/>
      <c r="G374" s="71"/>
      <c r="H374" s="71"/>
      <c r="I374" s="71"/>
      <c r="J374" s="71"/>
      <c r="K374" s="71"/>
      <c r="L374" s="71"/>
      <c r="M374" s="71"/>
      <c r="N374" s="71"/>
      <c r="O374" s="71"/>
    </row>
    <row r="375" spans="1:15" x14ac:dyDescent="0.25">
      <c r="A375" s="71"/>
      <c r="B375" s="71"/>
      <c r="C375" s="71"/>
      <c r="D375" s="71"/>
      <c r="E375" s="71"/>
      <c r="G375" s="71"/>
      <c r="H375" s="71"/>
      <c r="I375" s="71"/>
      <c r="J375" s="71"/>
      <c r="K375" s="71"/>
      <c r="L375" s="71"/>
      <c r="M375" s="71"/>
      <c r="N375" s="71"/>
      <c r="O375" s="71"/>
    </row>
    <row r="376" spans="1:15" x14ac:dyDescent="0.25">
      <c r="A376" s="71"/>
      <c r="B376" s="71"/>
      <c r="C376" s="71"/>
      <c r="D376" s="71"/>
      <c r="E376" s="71"/>
      <c r="G376" s="71"/>
      <c r="H376" s="71"/>
      <c r="I376" s="71"/>
      <c r="J376" s="71"/>
      <c r="K376" s="71"/>
      <c r="L376" s="71"/>
      <c r="M376" s="71"/>
      <c r="N376" s="71"/>
      <c r="O376" s="71"/>
    </row>
    <row r="377" spans="1:15" x14ac:dyDescent="0.25">
      <c r="A377" s="71"/>
      <c r="B377" s="71"/>
      <c r="C377" s="71"/>
      <c r="D377" s="71"/>
      <c r="E377" s="71"/>
      <c r="G377" s="71"/>
      <c r="H377" s="71"/>
      <c r="I377" s="71"/>
      <c r="J377" s="71"/>
      <c r="K377" s="71"/>
      <c r="L377" s="71"/>
      <c r="M377" s="71"/>
      <c r="N377" s="71"/>
      <c r="O377" s="71"/>
    </row>
    <row r="378" spans="1:15" x14ac:dyDescent="0.25">
      <c r="A378" s="71"/>
      <c r="B378" s="71"/>
      <c r="C378" s="71"/>
      <c r="D378" s="71"/>
      <c r="E378" s="71"/>
      <c r="G378" s="71"/>
      <c r="H378" s="71"/>
      <c r="I378" s="71"/>
      <c r="J378" s="71"/>
      <c r="K378" s="71"/>
      <c r="L378" s="71"/>
      <c r="M378" s="71"/>
      <c r="N378" s="71"/>
      <c r="O378" s="71"/>
    </row>
    <row r="379" spans="1:15" x14ac:dyDescent="0.25">
      <c r="A379" s="71"/>
      <c r="B379" s="71"/>
      <c r="C379" s="71"/>
      <c r="D379" s="71"/>
      <c r="E379" s="71"/>
      <c r="G379" s="71"/>
      <c r="H379" s="71"/>
      <c r="I379" s="71"/>
      <c r="J379" s="71"/>
      <c r="K379" s="71"/>
      <c r="L379" s="71"/>
      <c r="M379" s="71"/>
      <c r="N379" s="71"/>
      <c r="O379" s="71"/>
    </row>
    <row r="380" spans="1:15" x14ac:dyDescent="0.25">
      <c r="A380" s="71"/>
      <c r="B380" s="71"/>
      <c r="C380" s="71"/>
      <c r="D380" s="71"/>
      <c r="E380" s="71"/>
      <c r="G380" s="71"/>
      <c r="H380" s="71"/>
      <c r="I380" s="71"/>
      <c r="J380" s="71"/>
      <c r="K380" s="71"/>
      <c r="L380" s="71"/>
      <c r="M380" s="71"/>
      <c r="N380" s="71"/>
      <c r="O380" s="71"/>
    </row>
    <row r="381" spans="1:15" x14ac:dyDescent="0.25">
      <c r="A381" s="71"/>
      <c r="B381" s="71"/>
      <c r="C381" s="71"/>
      <c r="D381" s="71"/>
      <c r="E381" s="71"/>
      <c r="G381" s="71"/>
      <c r="H381" s="71"/>
      <c r="I381" s="71"/>
      <c r="J381" s="71"/>
      <c r="K381" s="71"/>
      <c r="L381" s="71"/>
      <c r="M381" s="71"/>
      <c r="N381" s="71"/>
      <c r="O381" s="71"/>
    </row>
    <row r="382" spans="1:15" x14ac:dyDescent="0.25">
      <c r="A382" s="71"/>
      <c r="B382" s="71"/>
      <c r="C382" s="71"/>
      <c r="D382" s="71"/>
      <c r="E382" s="71"/>
      <c r="G382" s="71"/>
      <c r="H382" s="71"/>
      <c r="I382" s="71"/>
      <c r="J382" s="71"/>
      <c r="K382" s="71"/>
      <c r="L382" s="71"/>
      <c r="M382" s="71"/>
      <c r="N382" s="71"/>
      <c r="O382" s="71"/>
    </row>
    <row r="383" spans="1:15" x14ac:dyDescent="0.25">
      <c r="A383" s="71"/>
      <c r="B383" s="71"/>
      <c r="C383" s="71"/>
      <c r="D383" s="71"/>
      <c r="E383" s="71"/>
      <c r="G383" s="71"/>
      <c r="H383" s="71"/>
      <c r="I383" s="71"/>
      <c r="J383" s="71"/>
      <c r="K383" s="71"/>
      <c r="L383" s="71"/>
      <c r="M383" s="71"/>
      <c r="N383" s="71"/>
      <c r="O383" s="71"/>
    </row>
    <row r="384" spans="1:15" x14ac:dyDescent="0.25">
      <c r="A384" s="71"/>
      <c r="B384" s="71"/>
      <c r="C384" s="71"/>
      <c r="D384" s="71"/>
      <c r="E384" s="71"/>
      <c r="G384" s="71"/>
      <c r="H384" s="71"/>
      <c r="I384" s="71"/>
      <c r="J384" s="71"/>
      <c r="K384" s="71"/>
      <c r="L384" s="71"/>
      <c r="M384" s="71"/>
      <c r="N384" s="71"/>
      <c r="O384" s="71"/>
    </row>
    <row r="385" spans="1:15" x14ac:dyDescent="0.25">
      <c r="A385" s="71"/>
      <c r="B385" s="71"/>
      <c r="C385" s="71"/>
      <c r="D385" s="71"/>
      <c r="E385" s="71"/>
      <c r="G385" s="71"/>
      <c r="H385" s="71"/>
      <c r="I385" s="71"/>
      <c r="J385" s="71"/>
      <c r="K385" s="71"/>
      <c r="L385" s="71"/>
      <c r="M385" s="71"/>
      <c r="N385" s="71"/>
      <c r="O385" s="71"/>
    </row>
    <row r="386" spans="1:15" x14ac:dyDescent="0.25">
      <c r="A386" s="71"/>
      <c r="B386" s="71"/>
      <c r="C386" s="71"/>
      <c r="D386" s="71"/>
      <c r="E386" s="71"/>
      <c r="G386" s="71"/>
      <c r="H386" s="71"/>
      <c r="I386" s="71"/>
      <c r="J386" s="71"/>
      <c r="K386" s="71"/>
      <c r="L386" s="71"/>
      <c r="M386" s="71"/>
      <c r="N386" s="71"/>
      <c r="O386" s="71"/>
    </row>
    <row r="387" spans="1:15" x14ac:dyDescent="0.25">
      <c r="A387" s="71"/>
      <c r="B387" s="71"/>
      <c r="C387" s="71"/>
      <c r="D387" s="71"/>
      <c r="E387" s="71"/>
      <c r="G387" s="71"/>
      <c r="H387" s="71"/>
      <c r="I387" s="71"/>
      <c r="J387" s="71"/>
      <c r="K387" s="71"/>
      <c r="L387" s="71"/>
      <c r="M387" s="71"/>
      <c r="N387" s="71"/>
      <c r="O387" s="71"/>
    </row>
    <row r="388" spans="1:15" x14ac:dyDescent="0.25">
      <c r="A388" s="71"/>
      <c r="B388" s="71"/>
      <c r="C388" s="71"/>
      <c r="D388" s="71"/>
      <c r="E388" s="71"/>
      <c r="G388" s="71"/>
      <c r="H388" s="71"/>
      <c r="I388" s="71"/>
      <c r="J388" s="71"/>
      <c r="K388" s="71"/>
      <c r="L388" s="71"/>
      <c r="M388" s="71"/>
      <c r="N388" s="71"/>
      <c r="O388" s="71"/>
    </row>
    <row r="389" spans="1:15" x14ac:dyDescent="0.25">
      <c r="A389" s="71"/>
      <c r="B389" s="71"/>
      <c r="C389" s="71"/>
      <c r="D389" s="71"/>
      <c r="E389" s="71"/>
      <c r="G389" s="71"/>
      <c r="H389" s="71"/>
      <c r="I389" s="71"/>
      <c r="J389" s="71"/>
      <c r="K389" s="71"/>
      <c r="L389" s="71"/>
      <c r="M389" s="71"/>
      <c r="N389" s="71"/>
      <c r="O389" s="71"/>
    </row>
  </sheetData>
  <sheetProtection algorithmName="SHA-512" hashValue="oOZtifBqiVHzpYV2o3i6s72dPekcGAE6HzozqbCQXjQAfnTZU1xVG+Z3SG9RcHtTRwB6jNaM8OWBbcohf20Ysw==" saltValue="mg2GLcNyZeZs4GFV/DFp9Q==" spinCount="100000" sheet="1" objects="1" scenarios="1"/>
  <dataConsolidate/>
  <mergeCells count="6">
    <mergeCell ref="G5:J5"/>
    <mergeCell ref="B5:E5"/>
    <mergeCell ref="L5:O5"/>
    <mergeCell ref="C368:D368"/>
    <mergeCell ref="H368:I368"/>
    <mergeCell ref="M368:N368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8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B569C-EF0E-49BE-B9CA-78ED9959A1C8}">
  <sheetPr codeName="Planilha5"/>
  <dimension ref="A1:F18"/>
  <sheetViews>
    <sheetView showGridLines="0" workbookViewId="0">
      <selection activeCell="C6" sqref="C6"/>
    </sheetView>
  </sheetViews>
  <sheetFormatPr defaultRowHeight="15" x14ac:dyDescent="0.25"/>
  <cols>
    <col min="1" max="1" width="11.28515625" style="6" customWidth="1"/>
    <col min="2" max="2" width="9.140625" style="6"/>
    <col min="3" max="5" width="16.140625" style="6" customWidth="1"/>
    <col min="6" max="16384" width="9.140625" style="6"/>
  </cols>
  <sheetData>
    <row r="1" spans="1:6" x14ac:dyDescent="0.25">
      <c r="A1" s="53" t="s">
        <v>5</v>
      </c>
    </row>
    <row r="2" spans="1:6" ht="22.5" x14ac:dyDescent="0.25">
      <c r="A2" s="54" t="s">
        <v>0</v>
      </c>
      <c r="B2" s="54" t="s">
        <v>1</v>
      </c>
      <c r="C2" s="54" t="s">
        <v>2</v>
      </c>
      <c r="D2" s="54" t="s">
        <v>3</v>
      </c>
      <c r="E2" s="54" t="s">
        <v>4</v>
      </c>
    </row>
    <row r="3" spans="1:6" x14ac:dyDescent="0.25">
      <c r="A3" s="55">
        <v>44927</v>
      </c>
      <c r="B3" s="56">
        <v>1056.4179999999999</v>
      </c>
      <c r="C3" s="57">
        <v>4.5999999999999999E-3</v>
      </c>
      <c r="D3" s="57">
        <v>4.5999999999999999E-3</v>
      </c>
      <c r="E3" s="58">
        <v>0.09</v>
      </c>
      <c r="F3" s="59"/>
    </row>
    <row r="4" spans="1:6" x14ac:dyDescent="0.25">
      <c r="A4" s="55">
        <v>44958</v>
      </c>
      <c r="B4" s="56">
        <v>1056.896</v>
      </c>
      <c r="C4" s="57">
        <v>5.0000000000000001E-4</v>
      </c>
      <c r="D4" s="57">
        <v>5.0000000000000001E-3</v>
      </c>
      <c r="E4" s="58">
        <v>8.6300000000000002E-2</v>
      </c>
      <c r="F4" s="59"/>
    </row>
    <row r="5" spans="1:6" x14ac:dyDescent="0.25">
      <c r="A5" s="55">
        <v>44986</v>
      </c>
      <c r="B5" s="56">
        <v>1060.116</v>
      </c>
      <c r="C5" s="57">
        <v>3.0000000000000001E-3</v>
      </c>
      <c r="D5" s="57">
        <v>8.0999999999999996E-3</v>
      </c>
      <c r="E5" s="58">
        <v>8.0399999999999999E-2</v>
      </c>
      <c r="F5" s="59"/>
    </row>
    <row r="6" spans="1:6" x14ac:dyDescent="0.25">
      <c r="A6" s="55">
        <v>45017</v>
      </c>
      <c r="B6" s="56">
        <v>1061.635</v>
      </c>
      <c r="C6" s="57">
        <v>1.4E-3</v>
      </c>
      <c r="D6" s="57">
        <v>9.4999999999999998E-3</v>
      </c>
      <c r="E6" s="58">
        <v>7.1800000000000003E-2</v>
      </c>
      <c r="F6" s="59"/>
    </row>
    <row r="7" spans="1:6" x14ac:dyDescent="0.25">
      <c r="A7" s="55">
        <v>45047</v>
      </c>
      <c r="B7" s="56">
        <v>1067.9190000000001</v>
      </c>
      <c r="C7" s="57">
        <v>5.8999999999999999E-3</v>
      </c>
      <c r="D7" s="57">
        <v>1.55E-2</v>
      </c>
      <c r="E7" s="58">
        <v>5.3999999999999999E-2</v>
      </c>
      <c r="F7" s="59"/>
    </row>
    <row r="8" spans="1:6" x14ac:dyDescent="0.25">
      <c r="A8" s="55">
        <v>45078</v>
      </c>
      <c r="B8" s="56">
        <v>1075.54</v>
      </c>
      <c r="C8" s="57">
        <v>7.1000000000000004E-3</v>
      </c>
      <c r="D8" s="57">
        <v>2.2700000000000001E-2</v>
      </c>
      <c r="E8" s="58">
        <v>3.9300000000000002E-2</v>
      </c>
      <c r="F8" s="59"/>
    </row>
    <row r="9" spans="1:6" x14ac:dyDescent="0.25">
      <c r="A9" s="55">
        <v>45108</v>
      </c>
      <c r="B9" s="56">
        <v>1076.626</v>
      </c>
      <c r="C9" s="57">
        <v>1E-3</v>
      </c>
      <c r="D9" s="57">
        <v>2.3800000000000002E-2</v>
      </c>
      <c r="E9" s="58">
        <v>3.15E-2</v>
      </c>
      <c r="F9" s="59"/>
    </row>
    <row r="10" spans="1:6" x14ac:dyDescent="0.25">
      <c r="A10" s="55">
        <v>45139</v>
      </c>
      <c r="B10" s="56">
        <v>1078.412</v>
      </c>
      <c r="C10" s="57">
        <v>1.6999999999999999E-3</v>
      </c>
      <c r="D10" s="57">
        <v>2.5499999999999998E-2</v>
      </c>
      <c r="E10" s="58">
        <v>3.2300000000000002E-2</v>
      </c>
      <c r="F10" s="59"/>
    </row>
    <row r="11" spans="1:6" x14ac:dyDescent="0.25">
      <c r="A11" s="55">
        <v>45170</v>
      </c>
      <c r="B11" s="56">
        <v>1082.104</v>
      </c>
      <c r="C11" s="57">
        <v>3.3999999999999998E-3</v>
      </c>
      <c r="D11" s="57">
        <v>2.9000000000000001E-2</v>
      </c>
      <c r="E11" s="58">
        <v>3.49E-2</v>
      </c>
      <c r="F11" s="59"/>
    </row>
    <row r="12" spans="1:6" x14ac:dyDescent="0.25">
      <c r="A12" s="55">
        <v>45200</v>
      </c>
      <c r="B12" s="56">
        <v>1084.242</v>
      </c>
      <c r="C12" s="57">
        <v>2E-3</v>
      </c>
      <c r="D12" s="57">
        <v>3.1E-2</v>
      </c>
      <c r="E12" s="58">
        <v>3.5700000000000003E-2</v>
      </c>
      <c r="F12" s="59"/>
    </row>
    <row r="13" spans="1:6" x14ac:dyDescent="0.25">
      <c r="A13" s="55">
        <v>45231</v>
      </c>
      <c r="B13" s="56">
        <v>1084.9860000000001</v>
      </c>
      <c r="C13" s="57">
        <v>6.9999999999999999E-4</v>
      </c>
      <c r="D13" s="57">
        <v>3.1699999999999999E-2</v>
      </c>
      <c r="E13" s="58">
        <v>3.2599999999999997E-2</v>
      </c>
      <c r="F13" s="59"/>
    </row>
    <row r="14" spans="1:6" x14ac:dyDescent="0.25">
      <c r="A14" s="55">
        <v>45261</v>
      </c>
      <c r="B14" s="56">
        <v>1088.3119999999999</v>
      </c>
      <c r="C14" s="57">
        <v>3.0999999999999999E-3</v>
      </c>
      <c r="D14" s="57">
        <v>3.49E-2</v>
      </c>
      <c r="E14" s="58">
        <v>3.49E-2</v>
      </c>
      <c r="F14" s="59"/>
    </row>
    <row r="15" spans="1:6" x14ac:dyDescent="0.25">
      <c r="A15" s="55">
        <v>45292</v>
      </c>
      <c r="B15" s="56">
        <v>1091.25</v>
      </c>
      <c r="C15" s="57">
        <v>2.7000000000000001E-3</v>
      </c>
      <c r="D15" s="57">
        <v>2.7000000000000001E-3</v>
      </c>
      <c r="E15" s="58">
        <v>3.3000000000000002E-2</v>
      </c>
      <c r="F15" s="59"/>
    </row>
    <row r="16" spans="1:6" x14ac:dyDescent="0.25">
      <c r="A16" s="55">
        <v>45323</v>
      </c>
      <c r="B16" s="56">
        <v>1092.6849999999999</v>
      </c>
      <c r="C16" s="57">
        <v>1.2999999999999999E-3</v>
      </c>
      <c r="D16" s="57">
        <v>4.0000000000000001E-3</v>
      </c>
      <c r="E16" s="58">
        <v>3.39E-2</v>
      </c>
      <c r="F16" s="59"/>
    </row>
    <row r="17" spans="1:6" x14ac:dyDescent="0.25">
      <c r="A17" s="55">
        <v>45352</v>
      </c>
      <c r="B17" s="56">
        <v>1095.7380000000001</v>
      </c>
      <c r="C17" s="57">
        <v>2.8E-3</v>
      </c>
      <c r="D17" s="57">
        <v>6.7999999999999996E-3</v>
      </c>
      <c r="E17" s="58">
        <v>3.3599999999999998E-2</v>
      </c>
      <c r="F17" s="59"/>
    </row>
    <row r="18" spans="1:6" x14ac:dyDescent="0.25">
      <c r="A18" s="55">
        <v>45383</v>
      </c>
      <c r="B18" s="56">
        <v>1101.3889999999999</v>
      </c>
      <c r="C18" s="57">
        <v>5.1999999999999998E-3</v>
      </c>
      <c r="D18" s="57">
        <v>1.2E-2</v>
      </c>
      <c r="E18" s="58">
        <v>3.7400000000000003E-2</v>
      </c>
    </row>
  </sheetData>
  <sheetProtection algorithmName="SHA-512" hashValue="R+EQVIX99iUqLi+1/E4AjPaH5JKgDiSB0Tq7pIDlVTS9SSps2Fnr8bCWIc0+0YRMGqAj/Ch+q8pKUiB+4a2ERw==" saltValue="CWOqEE/DGlN4pDVtTqhc6Q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52508-C6EB-4DB6-BF71-A5A141E117CE}">
  <sheetPr codeName="Planilha6"/>
  <dimension ref="L11:T51"/>
  <sheetViews>
    <sheetView topLeftCell="A17" workbookViewId="0">
      <selection activeCell="M36" sqref="M36"/>
    </sheetView>
  </sheetViews>
  <sheetFormatPr defaultRowHeight="15" x14ac:dyDescent="0.25"/>
  <cols>
    <col min="17" max="20" width="16.5703125" customWidth="1"/>
  </cols>
  <sheetData>
    <row r="11" spans="17:20" x14ac:dyDescent="0.25">
      <c r="T11" s="1">
        <v>200000</v>
      </c>
    </row>
    <row r="12" spans="17:20" x14ac:dyDescent="0.25">
      <c r="T12" s="1">
        <f>+T11*20</f>
        <v>4000000</v>
      </c>
    </row>
    <row r="15" spans="17:20" x14ac:dyDescent="0.25">
      <c r="Q15" s="1">
        <f>+Q18*Q16</f>
        <v>330000</v>
      </c>
    </row>
    <row r="16" spans="17:20" x14ac:dyDescent="0.25">
      <c r="Q16">
        <v>33</v>
      </c>
    </row>
    <row r="18" spans="12:20" x14ac:dyDescent="0.25">
      <c r="Q18" s="5">
        <v>10000</v>
      </c>
      <c r="R18" s="4">
        <v>10</v>
      </c>
      <c r="S18" s="1"/>
      <c r="T18" s="1"/>
    </row>
    <row r="20" spans="12:20" x14ac:dyDescent="0.25">
      <c r="Q20" s="3">
        <v>4.4999999999999998E-2</v>
      </c>
      <c r="R20" s="3">
        <v>1.4999999999999999E-2</v>
      </c>
      <c r="S20" s="3">
        <v>2.5000000000000001E-2</v>
      </c>
      <c r="T20" s="3">
        <v>5.0000000000000001E-3</v>
      </c>
    </row>
    <row r="21" spans="12:20" x14ac:dyDescent="0.25">
      <c r="Q21">
        <f>(1+Q20)^($R$18*12)</f>
        <v>196.76817320350369</v>
      </c>
      <c r="R21">
        <f>(1+R20)^($R$18*12)</f>
        <v>5.9693228723213387</v>
      </c>
      <c r="S21">
        <f>(1+S20)^($R$18*12)</f>
        <v>19.358149833777865</v>
      </c>
      <c r="T21">
        <f>(1+T20)^($R$18*12)</f>
        <v>1.8193967340322803</v>
      </c>
    </row>
    <row r="22" spans="12:20" x14ac:dyDescent="0.25">
      <c r="Q22" s="2">
        <f>+Q21-1</f>
        <v>195.76817320350369</v>
      </c>
      <c r="R22" s="2">
        <f>+R21-1</f>
        <v>4.9693228723213387</v>
      </c>
      <c r="S22" s="2">
        <f>+S21-1</f>
        <v>18.358149833777865</v>
      </c>
      <c r="T22" s="2">
        <f>+T21-1</f>
        <v>0.81939673403228031</v>
      </c>
    </row>
    <row r="23" spans="12:20" x14ac:dyDescent="0.25">
      <c r="Q23" s="1">
        <f>+$Q$18*(Q22+1)</f>
        <v>1967681.7320350369</v>
      </c>
      <c r="R23" s="1">
        <f>+$Q$18*(R22+1)</f>
        <v>59693.228723213389</v>
      </c>
      <c r="S23" s="1">
        <f>+$Q$18*(S22+1)</f>
        <v>193581.49833777864</v>
      </c>
      <c r="T23" s="1">
        <f>+$Q$18*(T22+1)</f>
        <v>18193.967340322804</v>
      </c>
    </row>
    <row r="29" spans="12:20" x14ac:dyDescent="0.25">
      <c r="L29">
        <v>1</v>
      </c>
      <c r="M29">
        <v>12</v>
      </c>
    </row>
    <row r="30" spans="12:20" x14ac:dyDescent="0.25">
      <c r="L30">
        <v>2</v>
      </c>
      <c r="M30">
        <f t="shared" ref="M30:M51" si="0">+M29*2</f>
        <v>24</v>
      </c>
    </row>
    <row r="31" spans="12:20" x14ac:dyDescent="0.25">
      <c r="L31">
        <v>3</v>
      </c>
      <c r="M31">
        <f t="shared" si="0"/>
        <v>48</v>
      </c>
    </row>
    <row r="32" spans="12:20" x14ac:dyDescent="0.25">
      <c r="L32">
        <v>4</v>
      </c>
      <c r="M32">
        <f t="shared" si="0"/>
        <v>96</v>
      </c>
    </row>
    <row r="33" spans="12:13" x14ac:dyDescent="0.25">
      <c r="L33">
        <v>5</v>
      </c>
      <c r="M33">
        <f t="shared" si="0"/>
        <v>192</v>
      </c>
    </row>
    <row r="34" spans="12:13" x14ac:dyDescent="0.25">
      <c r="L34">
        <v>6</v>
      </c>
      <c r="M34">
        <f t="shared" si="0"/>
        <v>384</v>
      </c>
    </row>
    <row r="35" spans="12:13" x14ac:dyDescent="0.25">
      <c r="L35">
        <v>7</v>
      </c>
      <c r="M35">
        <f t="shared" si="0"/>
        <v>768</v>
      </c>
    </row>
    <row r="36" spans="12:13" x14ac:dyDescent="0.25">
      <c r="L36">
        <v>8</v>
      </c>
      <c r="M36">
        <f t="shared" si="0"/>
        <v>1536</v>
      </c>
    </row>
    <row r="37" spans="12:13" x14ac:dyDescent="0.25">
      <c r="L37">
        <v>9</v>
      </c>
      <c r="M37">
        <f t="shared" si="0"/>
        <v>3072</v>
      </c>
    </row>
    <row r="38" spans="12:13" x14ac:dyDescent="0.25">
      <c r="L38">
        <v>10</v>
      </c>
      <c r="M38">
        <f t="shared" si="0"/>
        <v>6144</v>
      </c>
    </row>
    <row r="39" spans="12:13" x14ac:dyDescent="0.25">
      <c r="M39">
        <f t="shared" si="0"/>
        <v>12288</v>
      </c>
    </row>
    <row r="40" spans="12:13" x14ac:dyDescent="0.25">
      <c r="M40">
        <f t="shared" si="0"/>
        <v>24576</v>
      </c>
    </row>
    <row r="41" spans="12:13" x14ac:dyDescent="0.25">
      <c r="M41">
        <f t="shared" si="0"/>
        <v>49152</v>
      </c>
    </row>
    <row r="42" spans="12:13" x14ac:dyDescent="0.25">
      <c r="M42">
        <f t="shared" si="0"/>
        <v>98304</v>
      </c>
    </row>
    <row r="43" spans="12:13" x14ac:dyDescent="0.25">
      <c r="M43">
        <f t="shared" si="0"/>
        <v>196608</v>
      </c>
    </row>
    <row r="44" spans="12:13" x14ac:dyDescent="0.25">
      <c r="M44">
        <f t="shared" si="0"/>
        <v>393216</v>
      </c>
    </row>
    <row r="45" spans="12:13" x14ac:dyDescent="0.25">
      <c r="M45">
        <f t="shared" si="0"/>
        <v>786432</v>
      </c>
    </row>
    <row r="46" spans="12:13" x14ac:dyDescent="0.25">
      <c r="M46">
        <f t="shared" si="0"/>
        <v>1572864</v>
      </c>
    </row>
    <row r="47" spans="12:13" x14ac:dyDescent="0.25">
      <c r="M47">
        <f t="shared" si="0"/>
        <v>3145728</v>
      </c>
    </row>
    <row r="48" spans="12:13" x14ac:dyDescent="0.25">
      <c r="M48">
        <f t="shared" si="0"/>
        <v>6291456</v>
      </c>
    </row>
    <row r="49" spans="13:13" x14ac:dyDescent="0.25">
      <c r="M49">
        <f t="shared" si="0"/>
        <v>12582912</v>
      </c>
    </row>
    <row r="50" spans="13:13" x14ac:dyDescent="0.25">
      <c r="M50">
        <f t="shared" si="0"/>
        <v>25165824</v>
      </c>
    </row>
    <row r="51" spans="13:13" x14ac:dyDescent="0.25">
      <c r="M51">
        <f t="shared" si="0"/>
        <v>50331648</v>
      </c>
    </row>
  </sheetData>
  <dataConsolidate/>
  <dataValidations count="1">
    <dataValidation type="list" allowBlank="1" showInputMessage="1" showErrorMessage="1" sqref="R18" xr:uid="{F6F2E32E-5B53-4079-9E85-D9D0F84F47D7}">
      <formula1>$L$29:$L$38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Dashboard</vt:lpstr>
      <vt:lpstr>Base dinâmica</vt:lpstr>
      <vt:lpstr>Simulação Fluxo de pag.</vt:lpstr>
      <vt:lpstr>Price x SAC x SACRE</vt:lpstr>
      <vt:lpstr>INCC</vt:lpstr>
      <vt:lpstr>Planilha1 (2)</vt:lpstr>
      <vt:lpstr>'Base dinâmica'!Area_de_impressao</vt:lpstr>
      <vt:lpstr>Dashboard!Area_de_impressao</vt:lpstr>
      <vt:lpstr>'Simulação Fluxo de pag.'!Area_de_impressao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JINKINGS</dc:creator>
  <cp:lastModifiedBy>PAULO JINKINGS</cp:lastModifiedBy>
  <cp:lastPrinted>2024-09-24T19:20:15Z</cp:lastPrinted>
  <dcterms:created xsi:type="dcterms:W3CDTF">2024-05-19T12:48:20Z</dcterms:created>
  <dcterms:modified xsi:type="dcterms:W3CDTF">2025-03-08T22:14:23Z</dcterms:modified>
</cp:coreProperties>
</file>